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8070" firstSheet="5" activeTab="7"/>
  </bookViews>
  <sheets>
    <sheet name="Annuitätendarlehen" sheetId="1" r:id="rId1"/>
    <sheet name="Barwert_EffZins_etc" sheetId="2" r:id="rId2"/>
    <sheet name="Zinsstruktur" sheetId="3" r:id="rId3"/>
    <sheet name="Nelson-Siegel" sheetId="4" r:id="rId4"/>
    <sheet name="kubische Splines" sheetId="5" r:id="rId5"/>
    <sheet name="DayCountConventions" sheetId="6" r:id="rId6"/>
    <sheet name="Kalenderberechnungen" sheetId="7" r:id="rId7"/>
    <sheet name="Vgl.Diskontfaktoren" sheetId="8" r:id="rId8"/>
    <sheet name="Diskontfaktoren" sheetId="9" r:id="rId9"/>
  </sheets>
  <definedNames>
    <definedName name="_xlnm.Print_Area" localSheetId="6">'Kalenderberechnungen'!$H$2:$N$34</definedName>
    <definedName name="solver_adj" localSheetId="1" hidden="1">'Barwert_EffZins_etc'!$K$3</definedName>
    <definedName name="solver_adj" localSheetId="4" hidden="1">'kubische Splines'!$H$3:$H$8</definedName>
    <definedName name="solver_adj" localSheetId="7" hidden="1">'Vgl.Diskontfaktoren'!$J$5</definedName>
    <definedName name="solver_cvg" localSheetId="1" hidden="1">0.0001</definedName>
    <definedName name="solver_cvg" localSheetId="4" hidden="1">0.0001</definedName>
    <definedName name="solver_cvg" localSheetId="7" hidden="1">0.0001</definedName>
    <definedName name="solver_drv" localSheetId="1" hidden="1">1</definedName>
    <definedName name="solver_drv" localSheetId="4" hidden="1">1</definedName>
    <definedName name="solver_drv" localSheetId="7" hidden="1">1</definedName>
    <definedName name="solver_est" localSheetId="1" hidden="1">1</definedName>
    <definedName name="solver_est" localSheetId="4" hidden="1">1</definedName>
    <definedName name="solver_est" localSheetId="7" hidden="1">1</definedName>
    <definedName name="solver_itr" localSheetId="1" hidden="1">100</definedName>
    <definedName name="solver_itr" localSheetId="4" hidden="1">100</definedName>
    <definedName name="solver_itr" localSheetId="7" hidden="1">100</definedName>
    <definedName name="solver_lin" localSheetId="1" hidden="1">2</definedName>
    <definedName name="solver_lin" localSheetId="4" hidden="1">2</definedName>
    <definedName name="solver_lin" localSheetId="7" hidden="1">2</definedName>
    <definedName name="solver_neg" localSheetId="1" hidden="1">2</definedName>
    <definedName name="solver_neg" localSheetId="4" hidden="1">2</definedName>
    <definedName name="solver_neg" localSheetId="7" hidden="1">2</definedName>
    <definedName name="solver_num" localSheetId="1" hidden="1">0</definedName>
    <definedName name="solver_num" localSheetId="4" hidden="1">0</definedName>
    <definedName name="solver_num" localSheetId="7" hidden="1">0</definedName>
    <definedName name="solver_nwt" localSheetId="1" hidden="1">1</definedName>
    <definedName name="solver_nwt" localSheetId="4" hidden="1">1</definedName>
    <definedName name="solver_nwt" localSheetId="7" hidden="1">1</definedName>
    <definedName name="solver_opt" localSheetId="1" hidden="1">'Barwert_EffZins_etc'!$K$17</definedName>
    <definedName name="solver_opt" localSheetId="4" hidden="1">'kubische Splines'!$H$11</definedName>
    <definedName name="solver_opt" localSheetId="7" hidden="1">'Vgl.Diskontfaktoren'!$J$2</definedName>
    <definedName name="solver_pre" localSheetId="1" hidden="1">0.000001</definedName>
    <definedName name="solver_pre" localSheetId="4" hidden="1">0.000001</definedName>
    <definedName name="solver_pre" localSheetId="7" hidden="1">0.000001</definedName>
    <definedName name="solver_scl" localSheetId="1" hidden="1">2</definedName>
    <definedName name="solver_scl" localSheetId="4" hidden="1">2</definedName>
    <definedName name="solver_scl" localSheetId="7" hidden="1">2</definedName>
    <definedName name="solver_sho" localSheetId="1" hidden="1">2</definedName>
    <definedName name="solver_sho" localSheetId="4" hidden="1">2</definedName>
    <definedName name="solver_sho" localSheetId="7" hidden="1">2</definedName>
    <definedName name="solver_tim" localSheetId="1" hidden="1">100</definedName>
    <definedName name="solver_tim" localSheetId="4" hidden="1">100</definedName>
    <definedName name="solver_tim" localSheetId="7" hidden="1">100</definedName>
    <definedName name="solver_tol" localSheetId="1" hidden="1">0.05</definedName>
    <definedName name="solver_tol" localSheetId="4" hidden="1">0.05</definedName>
    <definedName name="solver_tol" localSheetId="7" hidden="1">0.05</definedName>
    <definedName name="solver_typ" localSheetId="1" hidden="1">3</definedName>
    <definedName name="solver_typ" localSheetId="4" hidden="1">2</definedName>
    <definedName name="solver_typ" localSheetId="7" hidden="1">2</definedName>
    <definedName name="solver_val" localSheetId="1" hidden="1">0</definedName>
    <definedName name="solver_val" localSheetId="4" hidden="1">0</definedName>
    <definedName name="solver_val" localSheetId="7" hidden="1">0</definedName>
  </definedNames>
  <calcPr fullCalcOnLoad="1"/>
</workbook>
</file>

<file path=xl/comments2.xml><?xml version="1.0" encoding="utf-8"?>
<comments xmlns="http://schemas.openxmlformats.org/spreadsheetml/2006/main">
  <authors>
    <author>wgz_user</author>
  </authors>
  <commentList>
    <comment ref="M3" authorId="0">
      <text>
        <r>
          <rPr>
            <sz val="8"/>
            <rFont val="Tahoma"/>
            <family val="0"/>
          </rPr>
          <t>In dieser Variante wird die einmalige Gebühr als
konstante Zahlung mit berücksichtigt.</t>
        </r>
      </text>
    </comment>
    <comment ref="J3" authorId="0">
      <text>
        <r>
          <rPr>
            <sz val="8"/>
            <rFont val="Tahoma"/>
            <family val="2"/>
          </rPr>
          <t>Es gibt viele leicht unterschiedliche Konventionen zur Berechnung eines Effektivzinses. Diese unterscheiden sich z.B. durch die verwendete Zinsmethode, die Tageberechnungskonventionen und die Fälligkeitstermine der Zinsen.</t>
        </r>
      </text>
    </comment>
  </commentList>
</comments>
</file>

<file path=xl/comments6.xml><?xml version="1.0" encoding="utf-8"?>
<comments xmlns="http://schemas.openxmlformats.org/spreadsheetml/2006/main">
  <authors>
    <author>xwgztf0</author>
  </authors>
  <commentList>
    <comment ref="G3" authorId="0">
      <text>
        <r>
          <rPr>
            <b/>
            <sz val="8"/>
            <rFont val="Tahoma"/>
            <family val="0"/>
          </rPr>
          <t>xwgztf0:</t>
        </r>
        <r>
          <rPr>
            <sz val="8"/>
            <rFont val="Tahoma"/>
            <family val="0"/>
          </rPr>
          <t xml:space="preserve">
Die Berücksichtigung der bei deutscher Verzinsung mögliche Zinstermine 30.Februar, sowie den 29. Februar auch in Nichtschaltjahren, ist als deutsch-ext implementiert.</t>
        </r>
      </text>
    </comment>
  </commentList>
</comments>
</file>

<file path=xl/comments8.xml><?xml version="1.0" encoding="utf-8"?>
<comments xmlns="http://schemas.openxmlformats.org/spreadsheetml/2006/main">
  <authors>
    <author>wgz_user</author>
  </authors>
  <commentList>
    <comment ref="J4" authorId="0">
      <text>
        <r>
          <rPr>
            <b/>
            <sz val="8"/>
            <rFont val="Tahoma"/>
            <family val="0"/>
          </rPr>
          <t>Zinssatz 
muss per Solver gefunden werden!</t>
        </r>
      </text>
    </comment>
  </commentList>
</comments>
</file>

<file path=xl/sharedStrings.xml><?xml version="1.0" encoding="utf-8"?>
<sst xmlns="http://schemas.openxmlformats.org/spreadsheetml/2006/main" count="435" uniqueCount="292">
  <si>
    <t>Auswahl 1</t>
  </si>
  <si>
    <t>Auswahl 2</t>
  </si>
  <si>
    <t>(wieder zurückgerechnet)</t>
  </si>
  <si>
    <t>Achtung "Modulo Trap": siehe</t>
  </si>
  <si>
    <t>http://www.merlyn.demon.co.uk/zeller-c.htm</t>
  </si>
  <si>
    <t>angepasste Zellerformel</t>
  </si>
  <si>
    <t>Zahlung</t>
  </si>
  <si>
    <t>Buß- und Bettag (Mittwoch vor dem letzten Sonntag des Kirchenjahres)</t>
  </si>
  <si>
    <t>1. Advent  (Beginn Kirchenjahr)</t>
  </si>
  <si>
    <t>Totensonntag (Letzter Sonntag des Kirchenjahres)</t>
  </si>
  <si>
    <t>Volkstrauertag (Sonntag vor Totensonntag)</t>
  </si>
  <si>
    <t xml:space="preserve">Tage definiert nach Regel:n-ter k-Tag vor oder nach  </t>
  </si>
  <si>
    <t>Muttertag    (2ter Sonntag im Mai)</t>
  </si>
  <si>
    <t>Thanksgiving (4th Thursday on or after Nov 1st)</t>
  </si>
  <si>
    <t>Pfingstmontag (O+50)</t>
  </si>
  <si>
    <t>http://berater.bildung-rp.de/Rockenbach/u_beispiele/zeller/zellersche_formel.htm</t>
  </si>
  <si>
    <t>Wochentag</t>
  </si>
  <si>
    <t>Jahr</t>
  </si>
  <si>
    <t>Jahrhundert</t>
  </si>
  <si>
    <t>Jahr im JH</t>
  </si>
  <si>
    <t>Monat</t>
  </si>
  <si>
    <t>Tag</t>
  </si>
  <si>
    <t>Zellersche Formel</t>
  </si>
  <si>
    <t>Excel</t>
  </si>
  <si>
    <t>Zeller:  0 = Sonntag,   1 = Montag, etc</t>
  </si>
  <si>
    <t>Zeller + 1: 1=Sonntag,  2=Montag, etc.</t>
  </si>
  <si>
    <t>a</t>
  </si>
  <si>
    <t>b</t>
  </si>
  <si>
    <t>c</t>
  </si>
  <si>
    <t>m</t>
  </si>
  <si>
    <t>s</t>
  </si>
  <si>
    <t>M</t>
  </si>
  <si>
    <t>N</t>
  </si>
  <si>
    <t>d</t>
  </si>
  <si>
    <t>D</t>
  </si>
  <si>
    <t>e</t>
  </si>
  <si>
    <t>Ostern</t>
  </si>
  <si>
    <t>Gauß'sche Osterformel</t>
  </si>
  <si>
    <t>englisch</t>
  </si>
  <si>
    <t>international/</t>
  </si>
  <si>
    <t>30/360</t>
  </si>
  <si>
    <t>deutsch</t>
  </si>
  <si>
    <t>30E/360</t>
  </si>
  <si>
    <t>Act/Act</t>
  </si>
  <si>
    <t>Differenz Tage</t>
  </si>
  <si>
    <t>Differenz Jahre</t>
  </si>
  <si>
    <t>französisch</t>
  </si>
  <si>
    <t>B(R,T1,T2)</t>
  </si>
  <si>
    <t>stetig</t>
  </si>
  <si>
    <t>diskret</t>
  </si>
  <si>
    <t>einfach</t>
  </si>
  <si>
    <t>Zins pro</t>
  </si>
  <si>
    <t>Act/360</t>
  </si>
  <si>
    <t>Act/365f</t>
  </si>
  <si>
    <t>Auswahl</t>
  </si>
  <si>
    <t>Sonntag</t>
  </si>
  <si>
    <t>Montag</t>
  </si>
  <si>
    <t>Dienstag</t>
  </si>
  <si>
    <t>Mittwoch</t>
  </si>
  <si>
    <t>Donnerstag</t>
  </si>
  <si>
    <t>Freitag</t>
  </si>
  <si>
    <t>Barwert</t>
  </si>
  <si>
    <t>Differenzen</t>
  </si>
  <si>
    <t>Samstag</t>
  </si>
  <si>
    <t>Datum</t>
  </si>
  <si>
    <t>Zeller + 1</t>
  </si>
  <si>
    <t>Neujahr</t>
  </si>
  <si>
    <t>Aschermittwoch (O-46)</t>
  </si>
  <si>
    <t>Chr. Himmelfahrt (O+39)</t>
  </si>
  <si>
    <t>Pfingsten (O+49)</t>
  </si>
  <si>
    <t>Fronleichnam (O+60)</t>
  </si>
  <si>
    <t>Bewegliche Feiertage</t>
  </si>
  <si>
    <t>Feste Feiertage</t>
  </si>
  <si>
    <t>Tag der Arbeit</t>
  </si>
  <si>
    <t>1. Weihnachtstag</t>
  </si>
  <si>
    <t>2. Weihnachtstag</t>
  </si>
  <si>
    <t>Hl 3 Könige</t>
  </si>
  <si>
    <t>Target</t>
  </si>
  <si>
    <t>Ostermontag (O+1)</t>
  </si>
  <si>
    <t>Karfreitag (O-2)</t>
  </si>
  <si>
    <t>ja</t>
  </si>
  <si>
    <t>Saar, einige Gem. in Thür</t>
  </si>
  <si>
    <t>Mariä Himmelfahrt</t>
  </si>
  <si>
    <t>Reformationstag</t>
  </si>
  <si>
    <t>Allerheiligen</t>
  </si>
  <si>
    <t>Heiligabend</t>
  </si>
  <si>
    <t>Deutschland</t>
  </si>
  <si>
    <t>kein Feiertag</t>
  </si>
  <si>
    <t>Tag der Deutschen Einheit</t>
  </si>
  <si>
    <t>BW,Bay,Sa-An</t>
  </si>
  <si>
    <t>BW,Bay,NRW,Rhein-Pf,Saar</t>
  </si>
  <si>
    <t>zusätzlicher</t>
  </si>
  <si>
    <t>Bankfeiertag</t>
  </si>
  <si>
    <t>altrömische Zählung</t>
  </si>
  <si>
    <t>Brand,Meck-Pomm,Sachs,Sa-An, einige Gem in Thür</t>
  </si>
  <si>
    <t>BW,Bay,Hess,NRW,Rhein-Pf,Saar,einige Gem in Thür und Sachs</t>
  </si>
  <si>
    <t>Diskontfaktor</t>
  </si>
  <si>
    <t>Delta T in J</t>
  </si>
  <si>
    <t>T - t</t>
  </si>
  <si>
    <t>B(T,t)</t>
  </si>
  <si>
    <t>R(T,t)</t>
  </si>
  <si>
    <t>Zeiteinheit in J</t>
  </si>
  <si>
    <t xml:space="preserve">d </t>
  </si>
  <si>
    <t>Zinsstruktur</t>
  </si>
  <si>
    <t>Jahre</t>
  </si>
  <si>
    <t>Zinsen</t>
  </si>
  <si>
    <t>Zinseszins</t>
  </si>
  <si>
    <t>inkl.</t>
  </si>
  <si>
    <t>Beispiel</t>
  </si>
  <si>
    <t>Referenzdatum</t>
  </si>
  <si>
    <t>Effektivzins</t>
  </si>
  <si>
    <t>Forw. Zins</t>
  </si>
  <si>
    <t xml:space="preserve"> B(T+1,t)</t>
  </si>
  <si>
    <t xml:space="preserve">Zins </t>
  </si>
  <si>
    <t>R(T,t)            = -d lnB / dT = ln B / (t-T)</t>
  </si>
  <si>
    <t>Kontrolle</t>
  </si>
  <si>
    <t>R2-R1</t>
  </si>
  <si>
    <t>Diff. Zinsen</t>
  </si>
  <si>
    <t>rel. Diff. Log-Diskount</t>
  </si>
  <si>
    <t>B(t+1,T|t)</t>
  </si>
  <si>
    <t>R(t+1,T|t)       =  -ln B / (T1-t)</t>
  </si>
  <si>
    <t>(ln B2- ln B1)/(T-t)</t>
  </si>
  <si>
    <t>Endtermin</t>
  </si>
  <si>
    <t>termin</t>
  </si>
  <si>
    <t>Anfangs-</t>
  </si>
  <si>
    <t>Rendite (Zinssatz) aus Diskontfaktor</t>
  </si>
  <si>
    <t>gesamte</t>
  </si>
  <si>
    <t>Aufzinsfaktor = 1/Diskontfaktor</t>
  </si>
  <si>
    <t>act/act</t>
  </si>
  <si>
    <t>englisch 1</t>
  </si>
  <si>
    <t>englisch 2</t>
  </si>
  <si>
    <t>Euro 1/ (ISMA)/</t>
  </si>
  <si>
    <t>(Euro 2)/ intern./</t>
  </si>
  <si>
    <t>n</t>
  </si>
  <si>
    <t>Summe</t>
  </si>
  <si>
    <t>nein</t>
  </si>
  <si>
    <t>Rosenmontag (O-48)</t>
  </si>
  <si>
    <t>WGZ 2004</t>
  </si>
  <si>
    <t>Nelson-Siegel(1987)-Parametrisierung der Zinsstrukturkurve</t>
  </si>
  <si>
    <t>Nelson-Siegel-extended(Svensson, 1994) verwendet von der Bundesbank</t>
  </si>
  <si>
    <t>beta_0</t>
  </si>
  <si>
    <t>beta_1</t>
  </si>
  <si>
    <t>beta_2</t>
  </si>
  <si>
    <t>tau_1</t>
  </si>
  <si>
    <t>Zeiteinheit</t>
  </si>
  <si>
    <t>Zins 5</t>
  </si>
  <si>
    <t>Zins 6</t>
  </si>
  <si>
    <t>Zins 7</t>
  </si>
  <si>
    <t>Zins 8</t>
  </si>
  <si>
    <t>Zins 9</t>
  </si>
  <si>
    <t>Zins 10</t>
  </si>
  <si>
    <t>Beta 0</t>
  </si>
  <si>
    <t>Beta 1</t>
  </si>
  <si>
    <t>Beta 2</t>
  </si>
  <si>
    <t>Tau 1</t>
  </si>
  <si>
    <t>Forward 1</t>
  </si>
  <si>
    <t>Forward 2</t>
  </si>
  <si>
    <t>Forward 3</t>
  </si>
  <si>
    <t>Forward 4</t>
  </si>
  <si>
    <t>Forward 5</t>
  </si>
  <si>
    <t>Forward 6</t>
  </si>
  <si>
    <t>Forward 7</t>
  </si>
  <si>
    <t>Forward 8</t>
  </si>
  <si>
    <t>Forward 9</t>
  </si>
  <si>
    <t>Forward 10</t>
  </si>
  <si>
    <t>Forward bei stetiger Verzinsung</t>
  </si>
  <si>
    <t>R(t1,t2|t0) = (R(t0,t2)*(t2-t0)-R(t0,t1)*(t1-t0)/(t2-t1)</t>
  </si>
  <si>
    <t>Konstant ab</t>
  </si>
  <si>
    <t>= R(t0,t2)+(t1-t0)*(R(t0,t2)-R(t0,t1))/(t2-t1)</t>
  </si>
  <si>
    <t>Diskont 1</t>
  </si>
  <si>
    <t>Diskont 2</t>
  </si>
  <si>
    <t>Diskont 3</t>
  </si>
  <si>
    <t>Diskont 4</t>
  </si>
  <si>
    <t>Diskont 5</t>
  </si>
  <si>
    <t>Diskont 6</t>
  </si>
  <si>
    <t>Diskont 7</t>
  </si>
  <si>
    <t>Diskont 8</t>
  </si>
  <si>
    <t>Diskont 9</t>
  </si>
  <si>
    <t>Diskont 10</t>
  </si>
  <si>
    <t>Kundenzins</t>
  </si>
  <si>
    <t>Abzinsfaktor</t>
  </si>
  <si>
    <t>Marge</t>
  </si>
  <si>
    <t>Abzinsfaktor mit Marge</t>
  </si>
  <si>
    <t>Margenberechnung</t>
  </si>
  <si>
    <t>Zins M</t>
  </si>
  <si>
    <t>Barwert M</t>
  </si>
  <si>
    <t>Effektivzinsberechnung</t>
  </si>
  <si>
    <t>so dass BW = 0</t>
  </si>
  <si>
    <t>mit Zinsstruktur</t>
  </si>
  <si>
    <t>Barwertberechnung</t>
  </si>
  <si>
    <t>Par-Rate-Berechnung</t>
  </si>
  <si>
    <t>Kundenzins, bei dem</t>
  </si>
  <si>
    <t>Par-rate</t>
  </si>
  <si>
    <t>BW = Restschuld (hier 0)</t>
  </si>
  <si>
    <t>Yield to Maturity</t>
  </si>
  <si>
    <t xml:space="preserve">Yield </t>
  </si>
  <si>
    <t>Diff zu BW</t>
  </si>
  <si>
    <t>korrekten BW reproduziert</t>
  </si>
  <si>
    <t>f</t>
  </si>
  <si>
    <t>Refzins</t>
  </si>
  <si>
    <t>Abweichung</t>
  </si>
  <si>
    <t>Zufallszahl</t>
  </si>
  <si>
    <t>Datenerzeugung</t>
  </si>
  <si>
    <t>Rekonstruktion</t>
  </si>
  <si>
    <t>Knoten 1</t>
  </si>
  <si>
    <t>Knoten 2</t>
  </si>
  <si>
    <t>MSE</t>
  </si>
  <si>
    <t>Daten</t>
  </si>
  <si>
    <t>Summe MSE</t>
  </si>
  <si>
    <t>linear</t>
  </si>
  <si>
    <t>2. Advent</t>
  </si>
  <si>
    <t>3. Advent</t>
  </si>
  <si>
    <t>4. Advent</t>
  </si>
  <si>
    <t>Silvester</t>
  </si>
  <si>
    <t>Zeit</t>
  </si>
  <si>
    <t>Zins</t>
  </si>
  <si>
    <t>Zinstermine pro Jahr</t>
  </si>
  <si>
    <t>Zeitintervall</t>
  </si>
  <si>
    <t>Diskontfaktor (Abzinsfaktor)</t>
  </si>
  <si>
    <t>Aufzinsfaktor</t>
  </si>
  <si>
    <t>Zins-</t>
  </si>
  <si>
    <t>methoden</t>
  </si>
  <si>
    <t>Differenz</t>
  </si>
  <si>
    <t>gemischt</t>
  </si>
  <si>
    <t>Differenz Zinsen</t>
  </si>
  <si>
    <t>Differenz Zinsen pro Zinsmethode</t>
  </si>
  <si>
    <t>diskret-stetig</t>
  </si>
  <si>
    <t>einfach-stetig</t>
  </si>
  <si>
    <t>Nominal</t>
  </si>
  <si>
    <t>Gebühr</t>
  </si>
  <si>
    <t>(Werte in H4 z.B. 41 oder 20)</t>
  </si>
  <si>
    <t>Parameter Zinsstruktur</t>
  </si>
  <si>
    <t>Einige Beispielwerte für Parameter</t>
  </si>
  <si>
    <t>siehe auch</t>
  </si>
  <si>
    <t>P(0,T)</t>
  </si>
  <si>
    <t>Zeit T</t>
  </si>
  <si>
    <t>Auszahlung</t>
  </si>
  <si>
    <t>Annuität</t>
  </si>
  <si>
    <t>Saldo</t>
  </si>
  <si>
    <t>Marktzins</t>
  </si>
  <si>
    <t>Zahlungsstrom</t>
  </si>
  <si>
    <t>Barwerte</t>
  </si>
  <si>
    <t>Gesamtbarwert</t>
  </si>
  <si>
    <t>Stückzinsen</t>
  </si>
  <si>
    <t>Beispiel Annuitätendarlehen (Exponentielle Verzinsung)</t>
  </si>
  <si>
    <t>Beispiel Annuitätendarlehen (diskrete Verzinsung)</t>
  </si>
  <si>
    <t>Gesamttilgung</t>
  </si>
  <si>
    <t xml:space="preserve">Aufschlag auf Zinsstruktur, </t>
  </si>
  <si>
    <t>Konstante Zinsstruktur,</t>
  </si>
  <si>
    <t>Konstante Zinsstruktur, der</t>
  </si>
  <si>
    <t>= "mittlere Zinsstruktur"</t>
  </si>
  <si>
    <t>" = Kundenzins zu Marktkonditionen"</t>
  </si>
  <si>
    <t>Konst ab N=</t>
  </si>
  <si>
    <t>Forwarddiskont 1 Zeitschritt</t>
  </si>
  <si>
    <t>Zinssatz</t>
  </si>
  <si>
    <t>exponentiell</t>
  </si>
  <si>
    <t>Vorgabe</t>
  </si>
  <si>
    <t>Zeitraum</t>
  </si>
  <si>
    <t>in Jahren</t>
  </si>
  <si>
    <t>jährlich</t>
  </si>
  <si>
    <t>halbjährlich</t>
  </si>
  <si>
    <t>vierteljährlich</t>
  </si>
  <si>
    <t>quad. Diff.</t>
  </si>
  <si>
    <t>endfälliges Darlehen</t>
  </si>
  <si>
    <t>Nettosumme</t>
  </si>
  <si>
    <t>S_(i-1) -&gt; Z_i -&gt; R_i -&gt; S_i</t>
  </si>
  <si>
    <t>Zahlungen R</t>
  </si>
  <si>
    <t>Zinsen Z</t>
  </si>
  <si>
    <t>Saldo S</t>
  </si>
  <si>
    <t>Tilgung T</t>
  </si>
  <si>
    <t>BW=sum_i D(ZS,i) X(K,i)</t>
  </si>
  <si>
    <t>0=sum_i D(ZS+M,i) X(K,i)</t>
  </si>
  <si>
    <t>Sicht der Bank</t>
  </si>
  <si>
    <t>Sicht des Kunden</t>
  </si>
  <si>
    <t>0=sum_i D(EZ,i) X(K,i)</t>
  </si>
  <si>
    <t>M = Marge</t>
  </si>
  <si>
    <t>ZS = Zinsstruktur</t>
  </si>
  <si>
    <t>EZ = Effektivzins</t>
  </si>
  <si>
    <t>bei wechselndem Vorzeichen</t>
  </si>
  <si>
    <t>mehrere Lösungen möglich</t>
  </si>
  <si>
    <t>0=sum_i D(ZS,i) X(PR,i)</t>
  </si>
  <si>
    <t>PR = Par rate</t>
  </si>
  <si>
    <t>YTM Yield to Maturity</t>
  </si>
  <si>
    <t>" = mittlerer  Verzinsung des Kredites"</t>
  </si>
  <si>
    <t>" = Kundenzins mit Gebühren"</t>
  </si>
  <si>
    <t>" = Kundenzins, wenn Geld- gleich Briefsatz"</t>
  </si>
  <si>
    <t>" = Konditionsbeitrag"</t>
  </si>
  <si>
    <t>" = mittlerer  Zinsaufschlag für Kunden"</t>
  </si>
  <si>
    <t>BW =sum_i D(YTM,i) X(K,i)</t>
  </si>
  <si>
    <t xml:space="preserve">       =sum_i D(ZS,i) X(K,i)</t>
  </si>
  <si>
    <t>" = Verteilung des Erfolgs auf Perioden"</t>
  </si>
  <si>
    <t>"also im Mittel YTM=ZS(T)"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</si>
</sst>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d/\ mmm\ yy"/>
    <numFmt numFmtId="174" formatCode="yyyy\-mm\-dd"/>
    <numFmt numFmtId="175" formatCode="0.000"/>
    <numFmt numFmtId="176" formatCode="0.0000"/>
    <numFmt numFmtId="177" formatCode="0.00000"/>
    <numFmt numFmtId="178" formatCode="0.000000"/>
    <numFmt numFmtId="179" formatCode="0.0%"/>
    <numFmt numFmtId="180" formatCode="0.0000000"/>
    <numFmt numFmtId="181" formatCode="dd/mm/yy"/>
    <numFmt numFmtId="182" formatCode="#,##0.0000"/>
    <numFmt numFmtId="183" formatCode="0.00000%"/>
    <numFmt numFmtId="184" formatCode="mmm\ yyyy"/>
    <numFmt numFmtId="185" formatCode="[$-407]dddd\,\ d\.\ mmmm\ yyyy"/>
    <numFmt numFmtId="186" formatCode="0.000%"/>
    <numFmt numFmtId="187" formatCode="h:mm"/>
    <numFmt numFmtId="188" formatCode="0.00000000%"/>
    <numFmt numFmtId="189" formatCode="0.00000000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b/>
      <sz val="16.25"/>
      <name val="Arial"/>
      <family val="0"/>
    </font>
    <font>
      <sz val="9.75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9.75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1.5"/>
      <name val="Arial"/>
      <family val="0"/>
    </font>
    <font>
      <b/>
      <sz val="1.25"/>
      <name val="Arial"/>
      <family val="0"/>
    </font>
    <font>
      <b/>
      <sz val="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75"/>
      <name val="Arial"/>
      <family val="0"/>
    </font>
    <font>
      <sz val="16"/>
      <name val="Arial"/>
      <family val="0"/>
    </font>
    <font>
      <b/>
      <sz val="16.75"/>
      <name val="Arial"/>
      <family val="0"/>
    </font>
    <font>
      <sz val="11"/>
      <name val="Arial"/>
      <family val="2"/>
    </font>
    <font>
      <b/>
      <sz val="16"/>
      <name val="Arial"/>
      <family val="0"/>
    </font>
    <font>
      <sz val="10"/>
      <color indexed="10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10" fontId="0" fillId="2" borderId="0" xfId="0" applyNumberForma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14" fontId="0" fillId="4" borderId="4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4" xfId="0" applyFill="1" applyBorder="1" applyAlignment="1">
      <alignment horizontal="left"/>
    </xf>
    <xf numFmtId="0" fontId="0" fillId="6" borderId="5" xfId="0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3" xfId="0" applyFill="1" applyBorder="1" applyAlignment="1">
      <alignment/>
    </xf>
    <xf numFmtId="173" fontId="0" fillId="6" borderId="4" xfId="0" applyNumberFormat="1" applyFill="1" applyBorder="1" applyAlignment="1">
      <alignment/>
    </xf>
    <xf numFmtId="0" fontId="0" fillId="5" borderId="4" xfId="0" applyFill="1" applyBorder="1" applyAlignment="1">
      <alignment/>
    </xf>
    <xf numFmtId="0" fontId="0" fillId="6" borderId="6" xfId="0" applyFill="1" applyBorder="1" applyAlignment="1">
      <alignment/>
    </xf>
    <xf numFmtId="0" fontId="0" fillId="3" borderId="5" xfId="0" applyFill="1" applyBorder="1" applyAlignment="1">
      <alignment/>
    </xf>
    <xf numFmtId="181" fontId="0" fillId="5" borderId="0" xfId="0" applyNumberFormat="1" applyFill="1" applyBorder="1" applyAlignment="1">
      <alignment/>
    </xf>
    <xf numFmtId="0" fontId="0" fillId="5" borderId="7" xfId="0" applyFill="1" applyBorder="1" applyAlignment="1">
      <alignment/>
    </xf>
    <xf numFmtId="0" fontId="0" fillId="6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10" fontId="0" fillId="4" borderId="0" xfId="0" applyNumberFormat="1" applyFill="1" applyAlignment="1">
      <alignment/>
    </xf>
    <xf numFmtId="10" fontId="0" fillId="6" borderId="0" xfId="0" applyNumberFormat="1" applyFill="1" applyAlignment="1">
      <alignment/>
    </xf>
    <xf numFmtId="10" fontId="0" fillId="0" borderId="0" xfId="0" applyNumberFormat="1" applyAlignment="1">
      <alignment/>
    </xf>
    <xf numFmtId="2" fontId="0" fillId="4" borderId="0" xfId="0" applyNumberFormat="1" applyFill="1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>
      <alignment/>
    </xf>
    <xf numFmtId="10" fontId="0" fillId="7" borderId="0" xfId="0" applyNumberFormat="1" applyFill="1" applyAlignment="1">
      <alignment/>
    </xf>
    <xf numFmtId="9" fontId="0" fillId="4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6" borderId="0" xfId="0" applyFill="1" applyAlignment="1">
      <alignment horizontal="right"/>
    </xf>
    <xf numFmtId="0" fontId="0" fillId="0" borderId="0" xfId="0" applyFill="1" applyAlignment="1">
      <alignment/>
    </xf>
    <xf numFmtId="0" fontId="0" fillId="4" borderId="0" xfId="0" applyFill="1" applyBorder="1" applyAlignment="1">
      <alignment/>
    </xf>
    <xf numFmtId="9" fontId="0" fillId="4" borderId="0" xfId="0" applyNumberFormat="1" applyFill="1" applyBorder="1" applyAlignment="1">
      <alignment/>
    </xf>
    <xf numFmtId="10" fontId="0" fillId="4" borderId="0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0" borderId="0" xfId="0" applyNumberFormat="1" applyAlignment="1">
      <alignment/>
    </xf>
    <xf numFmtId="2" fontId="0" fillId="6" borderId="0" xfId="0" applyNumberFormat="1" applyFill="1" applyBorder="1" applyAlignment="1">
      <alignment/>
    </xf>
    <xf numFmtId="173" fontId="0" fillId="6" borderId="7" xfId="0" applyNumberFormat="1" applyFill="1" applyBorder="1" applyAlignment="1">
      <alignment/>
    </xf>
    <xf numFmtId="9" fontId="0" fillId="0" borderId="0" xfId="0" applyNumberFormat="1" applyAlignment="1">
      <alignment/>
    </xf>
    <xf numFmtId="0" fontId="0" fillId="10" borderId="0" xfId="0" applyFill="1" applyBorder="1" applyAlignment="1">
      <alignment/>
    </xf>
    <xf numFmtId="0" fontId="0" fillId="7" borderId="9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0" xfId="0" applyFill="1" applyBorder="1" applyAlignment="1">
      <alignment/>
    </xf>
    <xf numFmtId="0" fontId="0" fillId="10" borderId="0" xfId="0" applyFill="1" applyAlignment="1">
      <alignment/>
    </xf>
    <xf numFmtId="0" fontId="0" fillId="7" borderId="11" xfId="0" applyFill="1" applyBorder="1" applyAlignment="1">
      <alignment/>
    </xf>
    <xf numFmtId="0" fontId="0" fillId="0" borderId="12" xfId="0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15" xfId="0" applyFill="1" applyBorder="1" applyAlignment="1">
      <alignment/>
    </xf>
    <xf numFmtId="9" fontId="0" fillId="10" borderId="0" xfId="0" applyNumberFormat="1" applyFill="1" applyAlignment="1">
      <alignment/>
    </xf>
    <xf numFmtId="0" fontId="0" fillId="7" borderId="0" xfId="0" applyFill="1" applyAlignment="1" quotePrefix="1">
      <alignment/>
    </xf>
    <xf numFmtId="0" fontId="0" fillId="7" borderId="16" xfId="0" applyFill="1" applyBorder="1" applyAlignment="1">
      <alignment/>
    </xf>
    <xf numFmtId="0" fontId="0" fillId="7" borderId="13" xfId="0" applyFill="1" applyBorder="1" applyAlignment="1">
      <alignment/>
    </xf>
    <xf numFmtId="0" fontId="0" fillId="4" borderId="0" xfId="0" applyFill="1" applyBorder="1" applyAlignment="1">
      <alignment horizontal="right"/>
    </xf>
    <xf numFmtId="0" fontId="0" fillId="4" borderId="14" xfId="0" applyFill="1" applyBorder="1" applyAlignment="1">
      <alignment horizontal="right"/>
    </xf>
    <xf numFmtId="0" fontId="0" fillId="6" borderId="10" xfId="0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0" fontId="0" fillId="6" borderId="15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4" borderId="14" xfId="0" applyFill="1" applyBorder="1" applyAlignment="1">
      <alignment/>
    </xf>
    <xf numFmtId="0" fontId="1" fillId="7" borderId="14" xfId="0" applyFont="1" applyFill="1" applyBorder="1" applyAlignment="1">
      <alignment/>
    </xf>
    <xf numFmtId="0" fontId="0" fillId="6" borderId="9" xfId="0" applyFill="1" applyBorder="1" applyAlignment="1" quotePrefix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10" fontId="0" fillId="10" borderId="0" xfId="0" applyNumberFormat="1" applyFill="1" applyAlignment="1">
      <alignment/>
    </xf>
    <xf numFmtId="2" fontId="0" fillId="10" borderId="0" xfId="0" applyNumberFormat="1" applyFill="1" applyAlignment="1">
      <alignment/>
    </xf>
    <xf numFmtId="9" fontId="0" fillId="4" borderId="17" xfId="0" applyNumberFormat="1" applyFill="1" applyBorder="1" applyAlignment="1">
      <alignment horizontal="right"/>
    </xf>
    <xf numFmtId="0" fontId="0" fillId="3" borderId="11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2" xfId="0" applyFill="1" applyBorder="1" applyAlignment="1">
      <alignment/>
    </xf>
    <xf numFmtId="0" fontId="0" fillId="4" borderId="10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15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16" xfId="0" applyFill="1" applyBorder="1" applyAlignment="1">
      <alignment/>
    </xf>
    <xf numFmtId="0" fontId="0" fillId="2" borderId="9" xfId="0" applyFill="1" applyBorder="1" applyAlignment="1">
      <alignment/>
    </xf>
    <xf numFmtId="10" fontId="0" fillId="2" borderId="11" xfId="0" applyNumberFormat="1" applyFill="1" applyBorder="1" applyAlignment="1">
      <alignment/>
    </xf>
    <xf numFmtId="10" fontId="0" fillId="2" borderId="16" xfId="0" applyNumberFormat="1" applyFill="1" applyBorder="1" applyAlignment="1">
      <alignment/>
    </xf>
    <xf numFmtId="0" fontId="0" fillId="2" borderId="12" xfId="0" applyFill="1" applyBorder="1" applyAlignment="1">
      <alignment/>
    </xf>
    <xf numFmtId="10" fontId="0" fillId="2" borderId="13" xfId="0" applyNumberFormat="1" applyFill="1" applyBorder="1" applyAlignment="1">
      <alignment/>
    </xf>
    <xf numFmtId="10" fontId="0" fillId="2" borderId="0" xfId="0" applyNumberFormat="1" applyFill="1" applyBorder="1" applyAlignment="1">
      <alignment/>
    </xf>
    <xf numFmtId="0" fontId="0" fillId="2" borderId="14" xfId="0" applyFill="1" applyBorder="1" applyAlignment="1">
      <alignment/>
    </xf>
    <xf numFmtId="10" fontId="0" fillId="2" borderId="10" xfId="0" applyNumberFormat="1" applyFill="1" applyBorder="1" applyAlignment="1">
      <alignment/>
    </xf>
    <xf numFmtId="10" fontId="0" fillId="2" borderId="9" xfId="0" applyNumberFormat="1" applyFill="1" applyBorder="1" applyAlignment="1">
      <alignment/>
    </xf>
    <xf numFmtId="0" fontId="0" fillId="2" borderId="15" xfId="0" applyFill="1" applyBorder="1" applyAlignment="1">
      <alignment/>
    </xf>
    <xf numFmtId="10" fontId="0" fillId="4" borderId="14" xfId="0" applyNumberFormat="1" applyFill="1" applyBorder="1" applyAlignment="1">
      <alignment/>
    </xf>
    <xf numFmtId="176" fontId="0" fillId="5" borderId="9" xfId="0" applyNumberFormat="1" applyFill="1" applyBorder="1" applyAlignment="1">
      <alignment/>
    </xf>
    <xf numFmtId="176" fontId="0" fillId="5" borderId="15" xfId="0" applyNumberFormat="1" applyFill="1" applyBorder="1" applyAlignment="1">
      <alignment/>
    </xf>
    <xf numFmtId="0" fontId="1" fillId="7" borderId="11" xfId="0" applyFont="1" applyFill="1" applyBorder="1" applyAlignment="1">
      <alignment/>
    </xf>
    <xf numFmtId="0" fontId="1" fillId="7" borderId="13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0" xfId="0" applyFill="1" applyBorder="1" applyAlignment="1">
      <alignment/>
    </xf>
    <xf numFmtId="0" fontId="0" fillId="6" borderId="16" xfId="0" applyFill="1" applyBorder="1" applyAlignment="1">
      <alignment/>
    </xf>
    <xf numFmtId="10" fontId="0" fillId="4" borderId="15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9" xfId="0" applyNumberFormat="1" applyFill="1" applyBorder="1" applyAlignment="1">
      <alignment/>
    </xf>
    <xf numFmtId="176" fontId="0" fillId="2" borderId="15" xfId="0" applyNumberFormat="1" applyFill="1" applyBorder="1" applyAlignment="1">
      <alignment/>
    </xf>
    <xf numFmtId="0" fontId="0" fillId="6" borderId="18" xfId="0" applyFill="1" applyBorder="1" applyAlignment="1">
      <alignment/>
    </xf>
    <xf numFmtId="0" fontId="0" fillId="2" borderId="0" xfId="0" applyNumberFormat="1" applyFill="1" applyBorder="1" applyAlignment="1">
      <alignment/>
    </xf>
    <xf numFmtId="0" fontId="15" fillId="0" borderId="0" xfId="18" applyAlignment="1">
      <alignment/>
    </xf>
    <xf numFmtId="0" fontId="1" fillId="6" borderId="0" xfId="0" applyFont="1" applyFill="1" applyBorder="1" applyAlignment="1">
      <alignment/>
    </xf>
    <xf numFmtId="0" fontId="1" fillId="8" borderId="0" xfId="0" applyFont="1" applyFill="1" applyBorder="1" applyAlignment="1">
      <alignment/>
    </xf>
    <xf numFmtId="178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14" fontId="0" fillId="4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78" fontId="0" fillId="2" borderId="0" xfId="0" applyNumberFormat="1" applyFill="1" applyBorder="1" applyAlignment="1">
      <alignment/>
    </xf>
    <xf numFmtId="0" fontId="1" fillId="5" borderId="0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1" fontId="0" fillId="2" borderId="16" xfId="0" applyNumberFormat="1" applyFill="1" applyBorder="1" applyAlignment="1">
      <alignment/>
    </xf>
    <xf numFmtId="4" fontId="0" fillId="2" borderId="16" xfId="0" applyNumberFormat="1" applyFill="1" applyBorder="1" applyAlignment="1">
      <alignment/>
    </xf>
    <xf numFmtId="0" fontId="0" fillId="0" borderId="0" xfId="0" applyAlignment="1">
      <alignment horizontal="left"/>
    </xf>
    <xf numFmtId="2" fontId="0" fillId="7" borderId="0" xfId="0" applyNumberFormat="1" applyFill="1" applyAlignment="1">
      <alignment/>
    </xf>
    <xf numFmtId="2" fontId="0" fillId="6" borderId="0" xfId="0" applyNumberFormat="1" applyFill="1" applyAlignment="1">
      <alignment/>
    </xf>
    <xf numFmtId="2" fontId="0" fillId="5" borderId="0" xfId="0" applyNumberFormat="1" applyFill="1" applyAlignment="1">
      <alignment/>
    </xf>
    <xf numFmtId="0" fontId="0" fillId="4" borderId="0" xfId="0" applyFill="1" applyAlignment="1">
      <alignment horizontal="right"/>
    </xf>
    <xf numFmtId="0" fontId="0" fillId="11" borderId="0" xfId="0" applyFill="1" applyAlignment="1">
      <alignment horizontal="right"/>
    </xf>
    <xf numFmtId="0" fontId="22" fillId="6" borderId="0" xfId="0" applyFont="1" applyFill="1" applyAlignment="1">
      <alignment/>
    </xf>
    <xf numFmtId="0" fontId="0" fillId="10" borderId="0" xfId="0" applyFill="1" applyAlignment="1" quotePrefix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4" borderId="13" xfId="0" applyFill="1" applyBorder="1" applyAlignment="1">
      <alignment/>
    </xf>
    <xf numFmtId="1" fontId="0" fillId="4" borderId="14" xfId="0" applyNumberForma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Annuitätendarlehen!$D$7</c:f>
              <c:strCache>
                <c:ptCount val="1"/>
                <c:pt idx="0">
                  <c:v>Zahlungsstrom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Annuitätendarlehen!$C$8:$C$28</c:f>
              <c:numCache/>
            </c:numRef>
          </c:xVal>
          <c:yVal>
            <c:numRef>
              <c:f>Annuitätendarlehen!$D$8:$D$28</c:f>
              <c:numCache/>
            </c:numRef>
          </c:yVal>
          <c:smooth val="0"/>
        </c:ser>
        <c:ser>
          <c:idx val="1"/>
          <c:order val="1"/>
          <c:tx>
            <c:strRef>
              <c:f>Annuitätendarlehen!$E$7</c:f>
              <c:strCache>
                <c:ptCount val="1"/>
                <c:pt idx="0">
                  <c:v>Saldo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Annuitätendarlehen!$C$8:$C$28</c:f>
              <c:numCache/>
            </c:numRef>
          </c:xVal>
          <c:yVal>
            <c:numRef>
              <c:f>Annuitätendarlehen!$E$8:$E$28</c:f>
              <c:numCache/>
            </c:numRef>
          </c:yVal>
          <c:smooth val="0"/>
        </c:ser>
        <c:ser>
          <c:idx val="2"/>
          <c:order val="2"/>
          <c:tx>
            <c:strRef>
              <c:f>Annuitätendarlehen!$F$7</c:f>
              <c:strCache>
                <c:ptCount val="1"/>
                <c:pt idx="0">
                  <c:v>Zinsen 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Annuitätendarlehen!$C$8:$C$28</c:f>
              <c:numCache/>
            </c:numRef>
          </c:xVal>
          <c:yVal>
            <c:numRef>
              <c:f>Annuitätendarlehen!$F$8:$F$28</c:f>
              <c:numCache/>
            </c:numRef>
          </c:yVal>
          <c:smooth val="0"/>
        </c:ser>
        <c:ser>
          <c:idx val="3"/>
          <c:order val="3"/>
          <c:tx>
            <c:strRef>
              <c:f>Annuitätendarlehen!$G$7</c:f>
              <c:strCache>
                <c:ptCount val="1"/>
                <c:pt idx="0">
                  <c:v>P(0,T)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Annuitätendarlehen!$C$8:$C$28</c:f>
              <c:numCache/>
            </c:numRef>
          </c:xVal>
          <c:yVal>
            <c:numRef>
              <c:f>Annuitätendarlehen!$G$8:$G$28</c:f>
              <c:numCache/>
            </c:numRef>
          </c:yVal>
          <c:smooth val="0"/>
        </c:ser>
        <c:ser>
          <c:idx val="4"/>
          <c:order val="4"/>
          <c:tx>
            <c:strRef>
              <c:f>Annuitätendarlehen!$H$7</c:f>
              <c:strCache>
                <c:ptCount val="1"/>
                <c:pt idx="0">
                  <c:v>Barwerte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Annuitätendarlehen!$C$8:$C$28</c:f>
              <c:numCache/>
            </c:numRef>
          </c:xVal>
          <c:yVal>
            <c:numRef>
              <c:f>Annuitätendarlehen!$H$8:$H$28</c:f>
              <c:numCache/>
            </c:numRef>
          </c:yVal>
          <c:smooth val="0"/>
        </c:ser>
        <c:ser>
          <c:idx val="5"/>
          <c:order val="5"/>
          <c:tx>
            <c:strRef>
              <c:f>Annuitätendarlehen!$I$7</c:f>
              <c:strCache>
                <c:ptCount val="1"/>
                <c:pt idx="0">
                  <c:v>Tilgung 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Annuitätendarlehen!$C$8:$C$28</c:f>
              <c:numCache/>
            </c:numRef>
          </c:xVal>
          <c:yVal>
            <c:numRef>
              <c:f>Annuitätendarlehen!$I$8:$I$28</c:f>
              <c:numCache/>
            </c:numRef>
          </c:yVal>
          <c:smooth val="0"/>
        </c:ser>
        <c:axId val="24994553"/>
        <c:axId val="23624386"/>
      </c:scatterChart>
      <c:valAx>
        <c:axId val="2499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24386"/>
        <c:crosses val="autoZero"/>
        <c:crossBetween val="midCat"/>
        <c:dispUnits/>
      </c:valAx>
      <c:valAx>
        <c:axId val="23624386"/>
        <c:scaling>
          <c:orientation val="minMax"/>
          <c:min val="-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945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Forwardzinsstruktur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'Nelson-Siegel'!$M$12</c:f>
              <c:strCache>
                <c:ptCount val="1"/>
                <c:pt idx="0">
                  <c:v>Forward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/>
            </c:numRef>
          </c:xVal>
          <c:yVal>
            <c:numRef>
              <c:f>'Nelson-Siegel'!$M$13:$M$132</c:f>
              <c:numCache/>
            </c:numRef>
          </c:yVal>
          <c:smooth val="1"/>
        </c:ser>
        <c:ser>
          <c:idx val="1"/>
          <c:order val="1"/>
          <c:tx>
            <c:strRef>
              <c:f>'Nelson-Siegel'!$N$12</c:f>
              <c:strCache>
                <c:ptCount val="1"/>
                <c:pt idx="0">
                  <c:v>Forward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/>
            </c:numRef>
          </c:xVal>
          <c:yVal>
            <c:numRef>
              <c:f>'Nelson-Siegel'!$N$13:$N$132</c:f>
              <c:numCache/>
            </c:numRef>
          </c:yVal>
          <c:smooth val="1"/>
        </c:ser>
        <c:ser>
          <c:idx val="2"/>
          <c:order val="2"/>
          <c:tx>
            <c:strRef>
              <c:f>'Nelson-Siegel'!$O$12</c:f>
              <c:strCache>
                <c:ptCount val="1"/>
                <c:pt idx="0">
                  <c:v>Forward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/>
            </c:numRef>
          </c:xVal>
          <c:yVal>
            <c:numRef>
              <c:f>'Nelson-Siegel'!$O$13:$O$132</c:f>
              <c:numCache/>
            </c:numRef>
          </c:yVal>
          <c:smooth val="1"/>
        </c:ser>
        <c:ser>
          <c:idx val="3"/>
          <c:order val="3"/>
          <c:tx>
            <c:strRef>
              <c:f>'Nelson-Siegel'!$P$12</c:f>
              <c:strCache>
                <c:ptCount val="1"/>
                <c:pt idx="0">
                  <c:v>Forward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/>
            </c:numRef>
          </c:xVal>
          <c:yVal>
            <c:numRef>
              <c:f>'Nelson-Siegel'!$P$13:$P$132</c:f>
              <c:numCache/>
            </c:numRef>
          </c:yVal>
          <c:smooth val="1"/>
        </c:ser>
        <c:ser>
          <c:idx val="4"/>
          <c:order val="4"/>
          <c:tx>
            <c:strRef>
              <c:f>'Nelson-Siegel'!$Q$12</c:f>
              <c:strCache>
                <c:ptCount val="1"/>
                <c:pt idx="0">
                  <c:v>Forward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/>
            </c:numRef>
          </c:xVal>
          <c:yVal>
            <c:numRef>
              <c:f>'Nelson-Siegel'!$Q$13:$Q$132</c:f>
              <c:numCache/>
            </c:numRef>
          </c:yVal>
          <c:smooth val="1"/>
        </c:ser>
        <c:ser>
          <c:idx val="5"/>
          <c:order val="5"/>
          <c:tx>
            <c:strRef>
              <c:f>'Nelson-Siegel'!$R$12</c:f>
              <c:strCache>
                <c:ptCount val="1"/>
                <c:pt idx="0">
                  <c:v>Forward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/>
            </c:numRef>
          </c:xVal>
          <c:yVal>
            <c:numRef>
              <c:f>'Nelson-Siegel'!$R$13:$R$132</c:f>
              <c:numCache/>
            </c:numRef>
          </c:yVal>
          <c:smooth val="1"/>
        </c:ser>
        <c:ser>
          <c:idx val="6"/>
          <c:order val="6"/>
          <c:tx>
            <c:strRef>
              <c:f>'Nelson-Siegel'!$S$12</c:f>
              <c:strCache>
                <c:ptCount val="1"/>
                <c:pt idx="0">
                  <c:v>Forward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/>
            </c:numRef>
          </c:xVal>
          <c:yVal>
            <c:numRef>
              <c:f>'Nelson-Siegel'!$S$13:$S$132</c:f>
              <c:numCache/>
            </c:numRef>
          </c:yVal>
          <c:smooth val="1"/>
        </c:ser>
        <c:ser>
          <c:idx val="7"/>
          <c:order val="7"/>
          <c:tx>
            <c:strRef>
              <c:f>'Nelson-Siegel'!$T$12</c:f>
              <c:strCache>
                <c:ptCount val="1"/>
                <c:pt idx="0">
                  <c:v>Forward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/>
            </c:numRef>
          </c:xVal>
          <c:yVal>
            <c:numRef>
              <c:f>'Nelson-Siegel'!$T$13:$T$132</c:f>
              <c:numCache/>
            </c:numRef>
          </c:yVal>
          <c:smooth val="1"/>
        </c:ser>
        <c:ser>
          <c:idx val="8"/>
          <c:order val="8"/>
          <c:tx>
            <c:strRef>
              <c:f>'Nelson-Siegel'!$U$12</c:f>
              <c:strCache>
                <c:ptCount val="1"/>
                <c:pt idx="0">
                  <c:v>Forward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/>
            </c:numRef>
          </c:xVal>
          <c:yVal>
            <c:numRef>
              <c:f>'Nelson-Siegel'!$U$13:$U$132</c:f>
              <c:numCache/>
            </c:numRef>
          </c:yVal>
          <c:smooth val="1"/>
        </c:ser>
        <c:ser>
          <c:idx val="9"/>
          <c:order val="9"/>
          <c:tx>
            <c:strRef>
              <c:f>'Nelson-Siegel'!$V$12</c:f>
              <c:strCache>
                <c:ptCount val="1"/>
                <c:pt idx="0">
                  <c:v>Forward 10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/>
            </c:numRef>
          </c:xVal>
          <c:yVal>
            <c:numRef>
              <c:f>'Nelson-Siegel'!$V$13:$V$132</c:f>
              <c:numCache/>
            </c:numRef>
          </c:yVal>
          <c:smooth val="1"/>
        </c:ser>
        <c:axId val="23436323"/>
        <c:axId val="9600316"/>
      </c:scatterChart>
      <c:valAx>
        <c:axId val="2343632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00316"/>
        <c:crosses val="autoZero"/>
        <c:crossBetween val="midCat"/>
        <c:dispUnits/>
      </c:valAx>
      <c:valAx>
        <c:axId val="9600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Forwardzinssatz (1monat)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363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Diskontfaktor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'Nelson-Siegel'!$W$12</c:f>
              <c:strCache>
                <c:ptCount val="1"/>
                <c:pt idx="0">
                  <c:v>Diskont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xVal>
          <c:yVal>
            <c:numRef>
              <c:f>'Nelson-Siegel'!$W$13:$W$132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'Nelson-Siegel'!$X$12</c:f>
              <c:strCache>
                <c:ptCount val="1"/>
                <c:pt idx="0">
                  <c:v>Diskont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xVal>
          <c:yVal>
            <c:numRef>
              <c:f>'Nelson-Siegel'!$X$13:$X$132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'Nelson-Siegel'!$Y$12</c:f>
              <c:strCache>
                <c:ptCount val="1"/>
                <c:pt idx="0">
                  <c:v>Diskont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xVal>
          <c:yVal>
            <c:numRef>
              <c:f>'Nelson-Siegel'!$Y$13:$Y$132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'Nelson-Siegel'!$Z$12</c:f>
              <c:strCache>
                <c:ptCount val="1"/>
                <c:pt idx="0">
                  <c:v>Diskont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xVal>
          <c:yVal>
            <c:numRef>
              <c:f>'Nelson-Siegel'!$Z$13:$Z$132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'Nelson-Siegel'!$AA$12</c:f>
              <c:strCache>
                <c:ptCount val="1"/>
                <c:pt idx="0">
                  <c:v>Diskont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xVal>
          <c:yVal>
            <c:numRef>
              <c:f>'Nelson-Siegel'!$AA$13:$AA$132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'Nelson-Siegel'!$AB$12</c:f>
              <c:strCache>
                <c:ptCount val="1"/>
                <c:pt idx="0">
                  <c:v>Diskont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xVal>
          <c:yVal>
            <c:numRef>
              <c:f>'Nelson-Siegel'!$AB$13:$AB$132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'Nelson-Siegel'!$AC$12</c:f>
              <c:strCache>
                <c:ptCount val="1"/>
                <c:pt idx="0">
                  <c:v>Diskont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xVal>
          <c:yVal>
            <c:numRef>
              <c:f>'Nelson-Siegel'!$AC$13:$AC$132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'Nelson-Siegel'!$AD$12</c:f>
              <c:strCache>
                <c:ptCount val="1"/>
                <c:pt idx="0">
                  <c:v>Diskont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xVal>
          <c:yVal>
            <c:numRef>
              <c:f>'Nelson-Siegel'!$AD$13:$AD$132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'Nelson-Siegel'!$AE$12</c:f>
              <c:strCache>
                <c:ptCount val="1"/>
                <c:pt idx="0">
                  <c:v>Diskont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xVal>
          <c:yVal>
            <c:numRef>
              <c:f>'Nelson-Siegel'!$AE$13:$AE$132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'Nelson-Siegel'!$AF$12</c:f>
              <c:strCache>
                <c:ptCount val="1"/>
                <c:pt idx="0">
                  <c:v>Diskont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xVal>
          <c:yVal>
            <c:numRef>
              <c:f>'Nelson-Siegel'!$AF$13:$AF$132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1"/>
        </c:ser>
        <c:axId val="19293981"/>
        <c:axId val="39428102"/>
      </c:scatterChart>
      <c:valAx>
        <c:axId val="1929398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28102"/>
        <c:crosses val="autoZero"/>
        <c:crossBetween val="midCat"/>
        <c:dispUnits/>
      </c:valAx>
      <c:valAx>
        <c:axId val="39428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Diskontfaktor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939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Zinsstruktur mit Splines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'kubische Splines'!$F$13</c:f>
              <c:strCache>
                <c:ptCount val="1"/>
                <c:pt idx="0">
                  <c:v>Daten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'kubische Splines'!$B$14:$B$63</c:f>
              <c:numCache/>
            </c:numRef>
          </c:xVal>
          <c:yVal>
            <c:numRef>
              <c:f>'kubische Splines'!$F$14:$F$63</c:f>
              <c:numCache/>
            </c:numRef>
          </c:yVal>
          <c:smooth val="1"/>
        </c:ser>
        <c:ser>
          <c:idx val="1"/>
          <c:order val="1"/>
          <c:tx>
            <c:strRef>
              <c:f>'kubische Splines'!$G$13</c:f>
              <c:strCache>
                <c:ptCount val="1"/>
                <c:pt idx="0">
                  <c:v>Zins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'kubische Splines'!$B$14:$B$63</c:f>
              <c:numCache/>
            </c:numRef>
          </c:xVal>
          <c:yVal>
            <c:numRef>
              <c:f>'kubische Splines'!$G$14:$G$63</c:f>
              <c:numCache/>
            </c:numRef>
          </c:yVal>
          <c:smooth val="1"/>
        </c:ser>
        <c:ser>
          <c:idx val="2"/>
          <c:order val="2"/>
          <c:tx>
            <c:strRef>
              <c:f>'kubische Splines'!$C$13</c:f>
              <c:strCache>
                <c:ptCount val="1"/>
                <c:pt idx="0">
                  <c:v>Refzins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FFFF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'kubische Splines'!$B$14:$B$63</c:f>
              <c:numCache/>
            </c:numRef>
          </c:xVal>
          <c:yVal>
            <c:numRef>
              <c:f>'kubische Splines'!$C$14:$C$63</c:f>
              <c:numCache/>
            </c:numRef>
          </c:yVal>
          <c:smooth val="1"/>
        </c:ser>
        <c:axId val="19308599"/>
        <c:axId val="39559664"/>
      </c:scatterChart>
      <c:valAx>
        <c:axId val="19308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59664"/>
        <c:crosses val="autoZero"/>
        <c:crossBetween val="midCat"/>
        <c:dispUnits/>
      </c:valAx>
      <c:valAx>
        <c:axId val="39559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Zinss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085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Diskontfaktor bei gleichem Zins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DayCountConventions!$P$4</c:f>
              <c:strCache>
                <c:ptCount val="1"/>
                <c:pt idx="0">
                  <c:v>stetig 30E/360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DayCountConventions!$D$5:$D$31</c:f>
              <c:numCache/>
            </c:numRef>
          </c:xVal>
          <c:yVal>
            <c:numRef>
              <c:f>DayCountConventions!$P$5:$P$31</c:f>
              <c:numCache/>
            </c:numRef>
          </c:yVal>
          <c:smooth val="0"/>
        </c:ser>
        <c:ser>
          <c:idx val="1"/>
          <c:order val="1"/>
          <c:tx>
            <c:strRef>
              <c:f>DayCountConventions!$Q$4</c:f>
              <c:strCache>
                <c:ptCount val="1"/>
                <c:pt idx="0">
                  <c:v>diskret 30E/360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DayCountConventions!$D$5:$D$31</c:f>
              <c:numCache/>
            </c:numRef>
          </c:xVal>
          <c:yVal>
            <c:numRef>
              <c:f>DayCountConventions!$Q$5:$Q$31</c:f>
              <c:numCache/>
            </c:numRef>
          </c:yVal>
          <c:smooth val="0"/>
        </c:ser>
        <c:ser>
          <c:idx val="2"/>
          <c:order val="2"/>
          <c:tx>
            <c:strRef>
              <c:f>DayCountConventions!$R$4</c:f>
              <c:strCache>
                <c:ptCount val="1"/>
                <c:pt idx="0">
                  <c:v>einfach 30E/360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DayCountConventions!$D$5:$D$31</c:f>
              <c:numCache/>
            </c:numRef>
          </c:xVal>
          <c:yVal>
            <c:numRef>
              <c:f>DayCountConventions!$R$5:$R$31</c:f>
              <c:numCache/>
            </c:numRef>
          </c:yVal>
          <c:smooth val="0"/>
        </c:ser>
        <c:ser>
          <c:idx val="3"/>
          <c:order val="3"/>
          <c:tx>
            <c:strRef>
              <c:f>DayCountConventions!$S$4</c:f>
              <c:strCache>
                <c:ptCount val="1"/>
                <c:pt idx="0">
                  <c:v>gemischt 30E/360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DayCountConventions!$D$5:$D$31</c:f>
              <c:numCache/>
            </c:numRef>
          </c:xVal>
          <c:yVal>
            <c:numRef>
              <c:f>DayCountConventions!$S$5:$S$31</c:f>
              <c:numCache/>
            </c:numRef>
          </c:yVal>
          <c:smooth val="0"/>
        </c:ser>
        <c:ser>
          <c:idx val="4"/>
          <c:order val="4"/>
          <c:tx>
            <c:strRef>
              <c:f>DayCountConventions!$U$4</c:f>
              <c:strCache>
                <c:ptCount val="1"/>
                <c:pt idx="0">
                  <c:v>stetig act/act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DayCountConventions!$D$5:$D$31</c:f>
              <c:numCache/>
            </c:numRef>
          </c:xVal>
          <c:yVal>
            <c:numRef>
              <c:f>DayCountConventions!$U$5:$U$31</c:f>
              <c:numCache/>
            </c:numRef>
          </c:yVal>
          <c:smooth val="0"/>
        </c:ser>
        <c:ser>
          <c:idx val="5"/>
          <c:order val="5"/>
          <c:tx>
            <c:strRef>
              <c:f>DayCountConventions!$V$4</c:f>
              <c:strCache>
                <c:ptCount val="1"/>
                <c:pt idx="0">
                  <c:v>diskret act/act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DayCountConventions!$D$5:$D$31</c:f>
              <c:numCache/>
            </c:numRef>
          </c:xVal>
          <c:yVal>
            <c:numRef>
              <c:f>DayCountConventions!$V$5:$V$31</c:f>
              <c:numCache/>
            </c:numRef>
          </c:yVal>
          <c:smooth val="0"/>
        </c:ser>
        <c:ser>
          <c:idx val="6"/>
          <c:order val="6"/>
          <c:tx>
            <c:strRef>
              <c:f>DayCountConventions!$W$4</c:f>
              <c:strCache>
                <c:ptCount val="1"/>
                <c:pt idx="0">
                  <c:v>einfach act/act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DayCountConventions!$D$5:$D$31</c:f>
              <c:numCache/>
            </c:numRef>
          </c:xVal>
          <c:yVal>
            <c:numRef>
              <c:f>DayCountConventions!$W$5:$W$31</c:f>
              <c:numCache/>
            </c:numRef>
          </c:yVal>
          <c:smooth val="0"/>
        </c:ser>
        <c:ser>
          <c:idx val="7"/>
          <c:order val="7"/>
          <c:tx>
            <c:strRef>
              <c:f>DayCountConventions!$X$4</c:f>
              <c:strCache>
                <c:ptCount val="1"/>
                <c:pt idx="0">
                  <c:v>gemischt act/act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DayCountConventions!$D$5:$D$31</c:f>
              <c:numCache/>
            </c:numRef>
          </c:xVal>
          <c:yVal>
            <c:numRef>
              <c:f>DayCountConventions!$X$5:$X$31</c:f>
              <c:numCache/>
            </c:numRef>
          </c:yVal>
          <c:smooth val="0"/>
        </c:ser>
        <c:axId val="20492657"/>
        <c:axId val="50216186"/>
      </c:scatterChart>
      <c:valAx>
        <c:axId val="20492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16186"/>
        <c:crosses val="autoZero"/>
        <c:crossBetween val="midCat"/>
        <c:dispUnits/>
      </c:valAx>
      <c:valAx>
        <c:axId val="50216186"/>
        <c:scaling>
          <c:orientation val="minMax"/>
          <c:max val="1"/>
          <c:min val="0.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926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Aufzinsfaktor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DayCountConventions!$AQ$4</c:f>
              <c:strCache>
                <c:ptCount val="1"/>
                <c:pt idx="0">
                  <c:v>stetig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DayCountConventions!$O$5:$O$31</c:f>
              <c:numCache/>
            </c:numRef>
          </c:xVal>
          <c:yVal>
            <c:numRef>
              <c:f>DayCountConventions!$AQ$5:$AQ$31</c:f>
              <c:numCache/>
            </c:numRef>
          </c:yVal>
          <c:smooth val="0"/>
        </c:ser>
        <c:ser>
          <c:idx val="1"/>
          <c:order val="1"/>
          <c:tx>
            <c:strRef>
              <c:f>DayCountConventions!$AR$4</c:f>
              <c:strCache>
                <c:ptCount val="1"/>
                <c:pt idx="0">
                  <c:v>diskret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DayCountConventions!$O$5:$O$31</c:f>
              <c:numCache/>
            </c:numRef>
          </c:xVal>
          <c:yVal>
            <c:numRef>
              <c:f>DayCountConventions!$AR$5:$AR$31</c:f>
              <c:numCache/>
            </c:numRef>
          </c:yVal>
          <c:smooth val="0"/>
        </c:ser>
        <c:ser>
          <c:idx val="2"/>
          <c:order val="2"/>
          <c:tx>
            <c:strRef>
              <c:f>DayCountConventions!$AS$4</c:f>
              <c:strCache>
                <c:ptCount val="1"/>
                <c:pt idx="0">
                  <c:v>einfach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DayCountConventions!$O$5:$O$31</c:f>
              <c:numCache/>
            </c:numRef>
          </c:xVal>
          <c:yVal>
            <c:numRef>
              <c:f>DayCountConventions!$AS$5:$AS$31</c:f>
              <c:numCache/>
            </c:numRef>
          </c:yVal>
          <c:smooth val="0"/>
        </c:ser>
        <c:ser>
          <c:idx val="3"/>
          <c:order val="3"/>
          <c:tx>
            <c:strRef>
              <c:f>DayCountConventions!$AT$4</c:f>
              <c:strCache>
                <c:ptCount val="1"/>
                <c:pt idx="0">
                  <c:v>gemischt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DayCountConventions!$O$5:$O$31</c:f>
              <c:numCache/>
            </c:numRef>
          </c:xVal>
          <c:yVal>
            <c:numRef>
              <c:f>DayCountConventions!$AT$5:$AT$31</c:f>
              <c:numCache/>
            </c:numRef>
          </c:yVal>
          <c:smooth val="0"/>
        </c:ser>
        <c:axId val="49292491"/>
        <c:axId val="40979236"/>
      </c:scatterChart>
      <c:valAx>
        <c:axId val="49292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0979236"/>
        <c:crosses val="autoZero"/>
        <c:crossBetween val="midCat"/>
        <c:dispUnits/>
      </c:valAx>
      <c:valAx>
        <c:axId val="40979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924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Zins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DayCountConventions!#REF!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DayCountConventions!#REF!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Zins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DayCountConventions!#REF!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DayCountConventions!#REF!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3268805"/>
        <c:axId val="30983790"/>
      </c:scatterChart>
      <c:valAx>
        <c:axId val="33268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Zeit (Jahre_alt)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83790"/>
        <c:crosses val="autoZero"/>
        <c:crossBetween val="midCat"/>
        <c:dispUnits/>
      </c:valAx>
      <c:valAx>
        <c:axId val="30983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Zins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688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Zins_2 vs Zins_1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Zins_2 vs Zins_1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DayCountConventions!#REF!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DayCountConventions!#REF!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Identität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DayCountConventions!#REF!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DayCountConventions!#REF!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0418655"/>
        <c:axId val="26659032"/>
      </c:scatterChart>
      <c:valAx>
        <c:axId val="10418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Zins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59032"/>
        <c:crosses val="autoZero"/>
        <c:crossBetween val="midCat"/>
        <c:dispUnits/>
      </c:valAx>
      <c:valAx>
        <c:axId val="26659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Zins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186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Unterschied Zins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DayCountConventions!#REF!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DayCountConventions!#REF!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DayCountConventions!#REF!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8604697"/>
        <c:axId val="11897954"/>
      </c:scatterChart>
      <c:valAx>
        <c:axId val="38604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Zeit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97954"/>
        <c:crosses val="autoZero"/>
        <c:crossBetween val="midCat"/>
        <c:dispUnits/>
      </c:valAx>
      <c:valAx>
        <c:axId val="11897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Unterschied Zins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046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Differenz  Diskontfaktoren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DayCountConventions!$Y$4</c:f>
              <c:strCache>
                <c:ptCount val="1"/>
                <c:pt idx="0">
                  <c:v>stetig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DayCountConventions!$D$5:$D$31</c:f>
              <c:numCache/>
            </c:numRef>
          </c:xVal>
          <c:yVal>
            <c:numRef>
              <c:f>DayCountConventions!$Y$5:$Y$31</c:f>
              <c:numCache/>
            </c:numRef>
          </c:yVal>
          <c:smooth val="0"/>
        </c:ser>
        <c:ser>
          <c:idx val="1"/>
          <c:order val="1"/>
          <c:tx>
            <c:strRef>
              <c:f>DayCountConventions!$Z$4</c:f>
              <c:strCache>
                <c:ptCount val="1"/>
                <c:pt idx="0">
                  <c:v>diskret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DayCountConventions!$D$5:$D$31</c:f>
              <c:numCache/>
            </c:numRef>
          </c:xVal>
          <c:yVal>
            <c:numRef>
              <c:f>DayCountConventions!$Z$5:$Z$31</c:f>
              <c:numCache/>
            </c:numRef>
          </c:yVal>
          <c:smooth val="0"/>
        </c:ser>
        <c:ser>
          <c:idx val="2"/>
          <c:order val="2"/>
          <c:tx>
            <c:strRef>
              <c:f>DayCountConventions!$AA$4</c:f>
              <c:strCache>
                <c:ptCount val="1"/>
                <c:pt idx="0">
                  <c:v>einfach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DayCountConventions!$D$5:$D$31</c:f>
              <c:numCache/>
            </c:numRef>
          </c:xVal>
          <c:yVal>
            <c:numRef>
              <c:f>DayCountConventions!$AA$5:$AA$31</c:f>
              <c:numCache/>
            </c:numRef>
          </c:yVal>
          <c:smooth val="0"/>
        </c:ser>
        <c:ser>
          <c:idx val="3"/>
          <c:order val="3"/>
          <c:tx>
            <c:strRef>
              <c:f>DayCountConventions!$AB$4</c:f>
              <c:strCache>
                <c:ptCount val="1"/>
                <c:pt idx="0">
                  <c:v>gemischt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DayCountConventions!$D$5:$D$31</c:f>
              <c:numCache/>
            </c:numRef>
          </c:xVal>
          <c:yVal>
            <c:numRef>
              <c:f>DayCountConventions!$AB$5:$AB$31</c:f>
              <c:numCache/>
            </c:numRef>
          </c:yVal>
          <c:smooth val="0"/>
        </c:ser>
        <c:axId val="39972723"/>
        <c:axId val="24210188"/>
      </c:scatterChart>
      <c:valAx>
        <c:axId val="3997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10188"/>
        <c:crosses val="autoZero"/>
        <c:crossBetween val="midCat"/>
        <c:dispUnits/>
      </c:valAx>
      <c:valAx>
        <c:axId val="24210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727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Differenz Zinsen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DayCountConventions!$AN$4</c:f>
              <c:strCache>
                <c:ptCount val="1"/>
                <c:pt idx="0">
                  <c:v>diskret-stetig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DayCountConventions!$D$5:$D$31</c:f>
              <c:numCache/>
            </c:numRef>
          </c:xVal>
          <c:yVal>
            <c:numRef>
              <c:f>DayCountConventions!$AN$5:$AN$31</c:f>
              <c:numCache/>
            </c:numRef>
          </c:yVal>
          <c:smooth val="0"/>
        </c:ser>
        <c:ser>
          <c:idx val="1"/>
          <c:order val="1"/>
          <c:tx>
            <c:strRef>
              <c:f>DayCountConventions!$AO$4</c:f>
              <c:strCache>
                <c:ptCount val="1"/>
                <c:pt idx="0">
                  <c:v>einfach-stetig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DayCountConventions!$D$5:$D$31</c:f>
              <c:numCache/>
            </c:numRef>
          </c:xVal>
          <c:yVal>
            <c:numRef>
              <c:f>DayCountConventions!$AO$5:$AO$31</c:f>
              <c:numCache/>
            </c:numRef>
          </c:yVal>
          <c:smooth val="0"/>
        </c:ser>
        <c:axId val="16565101"/>
        <c:axId val="14868182"/>
      </c:scatterChart>
      <c:valAx>
        <c:axId val="16565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68182"/>
        <c:crosses val="autoZero"/>
        <c:crossBetween val="midCat"/>
        <c:dispUnits/>
      </c:valAx>
      <c:valAx>
        <c:axId val="14868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651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Annuitätendarlehen!$F$7</c:f>
              <c:strCache>
                <c:ptCount val="1"/>
                <c:pt idx="0">
                  <c:v>Zinsen 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Annuitätendarlehen!$C$8:$C$28</c:f>
              <c:numCache/>
            </c:numRef>
          </c:xVal>
          <c:yVal>
            <c:numRef>
              <c:f>Annuitätendarlehen!$F$8:$F$28</c:f>
              <c:numCache/>
            </c:numRef>
          </c:yVal>
          <c:smooth val="0"/>
        </c:ser>
        <c:ser>
          <c:idx val="5"/>
          <c:order val="1"/>
          <c:tx>
            <c:strRef>
              <c:f>Annuitätendarlehen!$I$7</c:f>
              <c:strCache>
                <c:ptCount val="1"/>
                <c:pt idx="0">
                  <c:v>Tilgung 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Annuitätendarlehen!$C$8:$C$28</c:f>
              <c:numCache/>
            </c:numRef>
          </c:xVal>
          <c:yVal>
            <c:numRef>
              <c:f>Annuitätendarlehen!$I$8:$I$28</c:f>
              <c:numCache/>
            </c:numRef>
          </c:yVal>
          <c:smooth val="0"/>
        </c:ser>
        <c:axId val="11292883"/>
        <c:axId val="34527084"/>
      </c:scatterChart>
      <c:valAx>
        <c:axId val="11292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27084"/>
        <c:crosses val="autoZero"/>
        <c:crossBetween val="midCat"/>
        <c:dispUnits/>
      </c:valAx>
      <c:valAx>
        <c:axId val="34527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928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'Vgl.Diskontfaktoren'!$E$6</c:f>
              <c:strCache>
                <c:ptCount val="1"/>
                <c:pt idx="0">
                  <c:v>exponentiell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'Vgl.Diskontfaktoren'!$D$7:$D$31</c:f>
              <c:numCache/>
            </c:numRef>
          </c:xVal>
          <c:yVal>
            <c:numRef>
              <c:f>'Vgl.Diskontfaktoren'!$E$7:$E$31</c:f>
              <c:numCache/>
            </c:numRef>
          </c:yVal>
          <c:smooth val="1"/>
        </c:ser>
        <c:ser>
          <c:idx val="1"/>
          <c:order val="1"/>
          <c:tx>
            <c:strRef>
              <c:f>'Vgl.Diskontfaktoren'!$F$6</c:f>
              <c:strCache>
                <c:ptCount val="1"/>
                <c:pt idx="0">
                  <c:v>linear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'Vgl.Diskontfaktoren'!$D$7:$D$31</c:f>
              <c:numCache/>
            </c:numRef>
          </c:xVal>
          <c:yVal>
            <c:numRef>
              <c:f>'Vgl.Diskontfaktoren'!$F$7:$F$31</c:f>
              <c:numCache/>
            </c:numRef>
          </c:yVal>
          <c:smooth val="1"/>
        </c:ser>
        <c:ser>
          <c:idx val="2"/>
          <c:order val="2"/>
          <c:tx>
            <c:strRef>
              <c:f>'Vgl.Diskontfaktoren'!$G$6</c:f>
              <c:strCache>
                <c:ptCount val="1"/>
                <c:pt idx="0">
                  <c:v>jährlich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'Vgl.Diskontfaktoren'!$D$7:$D$31</c:f>
              <c:numCache/>
            </c:numRef>
          </c:xVal>
          <c:yVal>
            <c:numRef>
              <c:f>'Vgl.Diskontfaktoren'!$G$7:$G$31</c:f>
              <c:numCache/>
            </c:numRef>
          </c:yVal>
          <c:smooth val="1"/>
        </c:ser>
        <c:ser>
          <c:idx val="3"/>
          <c:order val="3"/>
          <c:tx>
            <c:strRef>
              <c:f>'Vgl.Diskontfaktoren'!$H$6</c:f>
              <c:strCache>
                <c:ptCount val="1"/>
                <c:pt idx="0">
                  <c:v>halbjährlich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'Vgl.Diskontfaktoren'!$D$7:$D$31</c:f>
              <c:numCache/>
            </c:numRef>
          </c:xVal>
          <c:yVal>
            <c:numRef>
              <c:f>'Vgl.Diskontfaktoren'!$H$7:$H$31</c:f>
              <c:numCache/>
            </c:numRef>
          </c:yVal>
          <c:smooth val="1"/>
        </c:ser>
        <c:ser>
          <c:idx val="4"/>
          <c:order val="4"/>
          <c:tx>
            <c:strRef>
              <c:f>'Vgl.Diskontfaktoren'!$I$6</c:f>
              <c:strCache>
                <c:ptCount val="1"/>
                <c:pt idx="0">
                  <c:v>vierteljährlich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'Vgl.Diskontfaktoren'!$D$7:$D$31</c:f>
              <c:numCache/>
            </c:numRef>
          </c:xVal>
          <c:yVal>
            <c:numRef>
              <c:f>'Vgl.Diskontfaktoren'!$I$7:$I$31</c:f>
              <c:numCache/>
            </c:numRef>
          </c:yVal>
          <c:smooth val="1"/>
        </c:ser>
        <c:ser>
          <c:idx val="5"/>
          <c:order val="5"/>
          <c:tx>
            <c:strRef>
              <c:f>'Vgl.Diskontfaktoren'!$J$6</c:f>
              <c:strCache>
                <c:ptCount val="1"/>
                <c:pt idx="0">
                  <c:v>gemischt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'Vgl.Diskontfaktoren'!$D$7:$D$31</c:f>
              <c:numCache/>
            </c:numRef>
          </c:xVal>
          <c:yVal>
            <c:numRef>
              <c:f>'Vgl.Diskontfaktoren'!$J$7:$J$31</c:f>
              <c:numCache/>
            </c:numRef>
          </c:yVal>
          <c:smooth val="1"/>
        </c:ser>
        <c:axId val="66704775"/>
        <c:axId val="63472064"/>
      </c:scatterChart>
      <c:valAx>
        <c:axId val="66704775"/>
        <c:scaling>
          <c:orientation val="minMax"/>
          <c:max val="1.5"/>
        </c:scaling>
        <c:axPos val="b"/>
        <c:delete val="0"/>
        <c:numFmt formatCode="General" sourceLinked="1"/>
        <c:majorTickMark val="out"/>
        <c:minorTickMark val="none"/>
        <c:tickLblPos val="nextTo"/>
        <c:crossAx val="63472064"/>
        <c:crosses val="autoZero"/>
        <c:crossBetween val="midCat"/>
        <c:dispUnits/>
      </c:valAx>
      <c:valAx>
        <c:axId val="63472064"/>
        <c:scaling>
          <c:orientation val="minMax"/>
          <c:max val="3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04775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Abzinsfaktor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Diskontfaktoren!$C$4</c:f>
              <c:strCache>
                <c:ptCount val="1"/>
                <c:pt idx="0">
                  <c:v>stetig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Diskontfaktoren!$B$5:$B$125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Diskontfaktoren!$C$5:$C$125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Diskontfaktoren!$D$4</c:f>
              <c:strCache>
                <c:ptCount val="1"/>
                <c:pt idx="0">
                  <c:v>diskret 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Diskontfaktoren!$B$5:$B$125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Diskontfaktoren!$D$5:$D$125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Diskontfaktoren!$E$4</c:f>
              <c:strCache>
                <c:ptCount val="1"/>
                <c:pt idx="0">
                  <c:v>diskret 1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Diskontfaktoren!$B$5:$B$125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Diskontfaktoren!$E$5:$E$125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Diskontfaktoren!$G$4</c:f>
              <c:strCache>
                <c:ptCount val="1"/>
                <c:pt idx="0">
                  <c:v>einfach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Diskontfaktoren!$B$5:$B$125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Diskontfaktoren!$G$5:$G$125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Diskontfaktoren!$F$4</c:f>
              <c:strCache>
                <c:ptCount val="1"/>
                <c:pt idx="0">
                  <c:v>GKM 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Diskontfaktoren!$B$5:$B$125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Diskontfaktoren!$F$5:$F$125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Diskontfaktoren!$H$4</c:f>
              <c:strCache>
                <c:ptCount val="1"/>
                <c:pt idx="0">
                  <c:v>linear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Diskontfaktoren!$B$5:$B$125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Diskontfaktoren!$H$5:$H$125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</c:ser>
        <c:axId val="34377665"/>
        <c:axId val="40963530"/>
      </c:scatterChart>
      <c:valAx>
        <c:axId val="34377665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40963530"/>
        <c:crosses val="autoZero"/>
        <c:crossBetween val="midCat"/>
        <c:dispUnits/>
      </c:valAx>
      <c:valAx>
        <c:axId val="40963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776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Aufzinsfaktor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Diskontfaktoren!$I$4</c:f>
              <c:strCache>
                <c:ptCount val="1"/>
                <c:pt idx="0">
                  <c:v>stetig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Diskontfaktoren!$B$5:$B$125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Diskontfaktoren!$I$5:$I$125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Diskontfaktoren!$J$4</c:f>
              <c:strCache>
                <c:ptCount val="1"/>
                <c:pt idx="0">
                  <c:v>diskret 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Diskontfaktoren!$B$5:$B$125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Diskontfaktoren!$J$5:$J$125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Diskontfaktoren!$K$4</c:f>
              <c:strCache>
                <c:ptCount val="1"/>
                <c:pt idx="0">
                  <c:v>diskret 1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Diskontfaktoren!$B$5:$B$125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Diskontfaktoren!$K$5:$K$125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Diskontfaktoren!$M$4</c:f>
              <c:strCache>
                <c:ptCount val="1"/>
                <c:pt idx="0">
                  <c:v>einfach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Diskontfaktoren!$B$5:$B$125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Diskontfaktoren!$M$5:$M$125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Diskontfaktoren!$L$4</c:f>
              <c:strCache>
                <c:ptCount val="1"/>
                <c:pt idx="0">
                  <c:v>GKM 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Diskontfaktoren!$B$5:$B$125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Diskontfaktoren!$L$5:$L$125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</c:ser>
        <c:axId val="33127451"/>
        <c:axId val="29711604"/>
      </c:scatterChart>
      <c:valAx>
        <c:axId val="33127451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29711604"/>
        <c:crosses val="autoZero"/>
        <c:crossBetween val="midCat"/>
        <c:dispUnits/>
      </c:valAx>
      <c:valAx>
        <c:axId val="29711604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274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Aufzinsfaktor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Diskontfaktoren!$I$4</c:f>
              <c:strCache>
                <c:ptCount val="1"/>
                <c:pt idx="0">
                  <c:v>stetig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Diskontfaktoren!$B$5:$B$125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Diskontfaktoren!$I$5:$I$125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Diskontfaktoren!$J$4</c:f>
              <c:strCache>
                <c:ptCount val="1"/>
                <c:pt idx="0">
                  <c:v>diskret 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Diskontfaktoren!$B$5:$B$125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Diskontfaktoren!$J$5:$J$125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Diskontfaktoren!$K$4</c:f>
              <c:strCache>
                <c:ptCount val="1"/>
                <c:pt idx="0">
                  <c:v>diskret 1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Diskontfaktoren!$B$5:$B$125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Diskontfaktoren!$K$5:$K$125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Diskontfaktoren!$M$4</c:f>
              <c:strCache>
                <c:ptCount val="1"/>
                <c:pt idx="0">
                  <c:v>einfach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Diskontfaktoren!$B$5:$B$125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Diskontfaktoren!$M$5:$M$125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Diskontfaktoren!$L$4</c:f>
              <c:strCache>
                <c:ptCount val="1"/>
                <c:pt idx="0">
                  <c:v>GKM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Diskontfaktoren!$B$5:$B$125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Diskontfaktoren!$L$5:$L$125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</c:ser>
        <c:axId val="66077845"/>
        <c:axId val="57829694"/>
      </c:scatterChart>
      <c:valAx>
        <c:axId val="66077845"/>
        <c:scaling>
          <c:orientation val="minMax"/>
          <c:max val="2.5"/>
        </c:scaling>
        <c:axPos val="b"/>
        <c:delete val="0"/>
        <c:numFmt formatCode="General" sourceLinked="1"/>
        <c:majorTickMark val="out"/>
        <c:minorTickMark val="none"/>
        <c:tickLblPos val="nextTo"/>
        <c:crossAx val="57829694"/>
        <c:crosses val="autoZero"/>
        <c:crossBetween val="midCat"/>
        <c:dispUnits/>
      </c:valAx>
      <c:valAx>
        <c:axId val="57829694"/>
        <c:scaling>
          <c:orientation val="minMax"/>
          <c:max val="1.4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778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Differenzen von Abzinsfaktoren nach verschiedenen Zinsmethoden bei gleichem Zinssatz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5"/>
          <c:order val="0"/>
          <c:tx>
            <c:strRef>
              <c:f>Diskontfaktoren!$N$4</c:f>
              <c:strCache>
                <c:ptCount val="1"/>
                <c:pt idx="0">
                  <c:v>stetig - diskret 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Diskontfaktoren!$B$5:$B$125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Diskontfaktoren!$N$5:$N$125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Diskontfaktoren!$O$4</c:f>
              <c:strCache>
                <c:ptCount val="1"/>
                <c:pt idx="0">
                  <c:v>stetig - diskret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Diskontfaktoren!$B$5:$B$125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Diskontfaktoren!$O$5:$O$125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Diskontfaktoren!$P$4</c:f>
              <c:strCache>
                <c:ptCount val="1"/>
                <c:pt idx="0">
                  <c:v>stetig - GKM 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Diskontfaktoren!$B$5:$B$125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Diskontfaktoren!$P$5:$P$125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Diskontfaktoren!$Q$4</c:f>
              <c:strCache>
                <c:ptCount val="1"/>
                <c:pt idx="0">
                  <c:v>GKM 1 - diskret 1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Diskontfaktoren!$B$5:$B$125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Diskontfaktoren!$Q$5:$Q$125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Diskontfaktoren!$T$4</c:f>
              <c:strCache>
                <c:ptCount val="1"/>
                <c:pt idx="0">
                  <c:v>GKM 1 - einfach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Diskontfaktoren!$B$5:$B$125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Diskontfaktoren!$T$5:$T$125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Diskontfaktoren!$U$4</c:f>
              <c:strCache>
                <c:ptCount val="1"/>
                <c:pt idx="0">
                  <c:v>stetig - einfach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Diskontfaktoren!$B$5:$B$125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Diskontfaktoren!$U$5:$U$125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Diskontfaktoren!$S$4</c:f>
              <c:strCache>
                <c:ptCount val="1"/>
                <c:pt idx="0">
                  <c:v>diskret 4 - diskret 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Diskontfaktoren!$B$5:$B$125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Diskontfaktoren!$S$5:$S$125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Diskontfaktoren!$R$4</c:f>
              <c:strCache>
                <c:ptCount val="1"/>
                <c:pt idx="0">
                  <c:v>diskret 4 - GKM 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Diskontfaktoren!$B$5:$B$125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Diskontfaktoren!$R$5:$R$125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</c:ser>
        <c:axId val="50705199"/>
        <c:axId val="53693608"/>
      </c:scatterChart>
      <c:valAx>
        <c:axId val="50705199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3693608"/>
        <c:crosses val="autoZero"/>
        <c:crossBetween val="midCat"/>
        <c:dispUnits/>
      </c:valAx>
      <c:valAx>
        <c:axId val="53693608"/>
        <c:scaling>
          <c:orientation val="minMax"/>
          <c:max val="0.001"/>
          <c:min val="-0.0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051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Zinsstruktur!$C$7</c:f>
              <c:strCache>
                <c:ptCount val="1"/>
                <c:pt idx="0">
                  <c:v>Diskontfaktor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Zinsstruktur!$B$8:$B$49</c:f>
              <c:numCache/>
            </c:numRef>
          </c:xVal>
          <c:yVal>
            <c:numRef>
              <c:f>Zinsstruktur!$C$8:$C$49</c:f>
              <c:numCache/>
            </c:numRef>
          </c:yVal>
          <c:smooth val="1"/>
        </c:ser>
        <c:axId val="42308301"/>
        <c:axId val="45230390"/>
      </c:scatterChart>
      <c:valAx>
        <c:axId val="42308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30390"/>
        <c:crosses val="autoZero"/>
        <c:crossBetween val="midCat"/>
        <c:dispUnits/>
      </c:valAx>
      <c:valAx>
        <c:axId val="45230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083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Zinsstruktur!$D$7</c:f>
              <c:strCache>
                <c:ptCount val="1"/>
                <c:pt idx="0">
                  <c:v>Zins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Zinsstruktur!$B$8:$B$49</c:f>
              <c:numCache/>
            </c:numRef>
          </c:xVal>
          <c:yVal>
            <c:numRef>
              <c:f>Zinsstruktur!$D$8:$D$49</c:f>
              <c:numCache/>
            </c:numRef>
          </c:yVal>
          <c:smooth val="1"/>
        </c:ser>
        <c:axId val="4420327"/>
        <c:axId val="39782944"/>
      </c:scatterChart>
      <c:valAx>
        <c:axId val="4420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82944"/>
        <c:crosses val="autoZero"/>
        <c:crossBetween val="midCat"/>
        <c:dispUnits/>
      </c:valAx>
      <c:valAx>
        <c:axId val="39782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03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Zinsstruktur!$E$7</c:f>
              <c:strCache>
                <c:ptCount val="1"/>
                <c:pt idx="0">
                  <c:v>Forwarddiskont 1 Zeitschritt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Zinsstruktur!$B$8:$B$49</c:f>
              <c:numCache/>
            </c:numRef>
          </c:xVal>
          <c:yVal>
            <c:numRef>
              <c:f>Zinsstruktur!$E$8:$E$49</c:f>
              <c:numCache/>
            </c:numRef>
          </c:yVal>
          <c:smooth val="1"/>
        </c:ser>
        <c:axId val="22502177"/>
        <c:axId val="1193002"/>
      </c:scatterChart>
      <c:valAx>
        <c:axId val="22502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3002"/>
        <c:crosses val="autoZero"/>
        <c:crossBetween val="midCat"/>
        <c:dispUnits/>
      </c:valAx>
      <c:valAx>
        <c:axId val="1193002"/>
        <c:scaling>
          <c:orientation val="minMax"/>
          <c:max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021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"/>
                <a:ea typeface="Arial"/>
                <a:cs typeface="Arial"/>
              </a:rPr>
              <a:t>Forward Zins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Zinsstruktur!$D$7</c:f>
              <c:strCache>
                <c:ptCount val="1"/>
                <c:pt idx="0">
                  <c:v>Zins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Zinsstruktur!$B$8:$B$49</c:f>
              <c:numCache/>
            </c:numRef>
          </c:xVal>
          <c:yVal>
            <c:numRef>
              <c:f>Zinsstruktur!$D$8:$D$49</c:f>
              <c:numCache/>
            </c:numRef>
          </c:yVal>
          <c:smooth val="1"/>
        </c:ser>
        <c:ser>
          <c:idx val="0"/>
          <c:order val="1"/>
          <c:tx>
            <c:strRef>
              <c:f>Zinsstruktur!$F$7</c:f>
              <c:strCache>
                <c:ptCount val="1"/>
                <c:pt idx="0">
                  <c:v>Forw. Zins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Zinsstruktur!$B$9:$B$49</c:f>
              <c:numCache/>
            </c:numRef>
          </c:xVal>
          <c:yVal>
            <c:numRef>
              <c:f>Zinsstruktur!$F$9:$F$49</c:f>
              <c:numCache/>
            </c:numRef>
          </c:yVal>
          <c:smooth val="1"/>
        </c:ser>
        <c:axId val="10737019"/>
        <c:axId val="29524308"/>
      </c:scatterChart>
      <c:valAx>
        <c:axId val="10737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24308"/>
        <c:crosses val="autoZero"/>
        <c:crossBetween val="midCat"/>
        <c:dispUnits/>
      </c:valAx>
      <c:valAx>
        <c:axId val="295243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370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Zinsstruktur!$I$7</c:f>
              <c:strCache>
                <c:ptCount val="1"/>
                <c:pt idx="0">
                  <c:v>Diff. Zinsen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Zinsstruktur!$I$9:$I$48</c:f>
              <c:numCache/>
            </c:numRef>
          </c:yVal>
          <c:smooth val="0"/>
        </c:ser>
        <c:axId val="64392181"/>
        <c:axId val="42658718"/>
      </c:scatterChart>
      <c:valAx>
        <c:axId val="64392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58718"/>
        <c:crosses val="autoZero"/>
        <c:crossBetween val="midCat"/>
        <c:dispUnits/>
      </c:valAx>
      <c:valAx>
        <c:axId val="426587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921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Zinsstruktur!$J$7</c:f>
              <c:strCache>
                <c:ptCount val="1"/>
                <c:pt idx="0">
                  <c:v>rel. Diff. Log-Diskount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Zinsstruktur!$J$8:$J$48</c:f>
              <c:numCache/>
            </c:numRef>
          </c:yVal>
          <c:smooth val="0"/>
        </c:ser>
        <c:axId val="48384143"/>
        <c:axId val="32804104"/>
      </c:scatterChart>
      <c:valAx>
        <c:axId val="48384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04104"/>
        <c:crosses val="autoZero"/>
        <c:crossBetween val="midCat"/>
        <c:dispUnits/>
      </c:valAx>
      <c:valAx>
        <c:axId val="32804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841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Zinsstrukturkurve (Nelson-Siegel)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'Nelson-Siegel'!$C$12</c:f>
              <c:strCache>
                <c:ptCount val="1"/>
                <c:pt idx="0">
                  <c:v>Beta 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/>
            </c:numRef>
          </c:xVal>
          <c:yVal>
            <c:numRef>
              <c:f>'Nelson-Siegel'!$C$13:$C$132</c:f>
              <c:numCache/>
            </c:numRef>
          </c:yVal>
          <c:smooth val="1"/>
        </c:ser>
        <c:ser>
          <c:idx val="1"/>
          <c:order val="1"/>
          <c:tx>
            <c:strRef>
              <c:f>'Nelson-Siegel'!$D$12</c:f>
              <c:strCache>
                <c:ptCount val="1"/>
                <c:pt idx="0">
                  <c:v>Beta 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/>
            </c:numRef>
          </c:xVal>
          <c:yVal>
            <c:numRef>
              <c:f>'Nelson-Siegel'!$D$13:$D$132</c:f>
              <c:numCache/>
            </c:numRef>
          </c:yVal>
          <c:smooth val="1"/>
        </c:ser>
        <c:ser>
          <c:idx val="2"/>
          <c:order val="2"/>
          <c:tx>
            <c:strRef>
              <c:f>'Nelson-Siegel'!$E$12</c:f>
              <c:strCache>
                <c:ptCount val="1"/>
                <c:pt idx="0">
                  <c:v>Beta 2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/>
            </c:numRef>
          </c:xVal>
          <c:yVal>
            <c:numRef>
              <c:f>'Nelson-Siegel'!$E$13:$E$132</c:f>
              <c:numCache/>
            </c:numRef>
          </c:yVal>
          <c:smooth val="1"/>
        </c:ser>
        <c:ser>
          <c:idx val="3"/>
          <c:order val="3"/>
          <c:tx>
            <c:strRef>
              <c:f>'Nelson-Siegel'!$F$12</c:f>
              <c:strCache>
                <c:ptCount val="1"/>
                <c:pt idx="0">
                  <c:v>Tau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/>
            </c:numRef>
          </c:xVal>
          <c:yVal>
            <c:numRef>
              <c:f>'Nelson-Siegel'!$F$13:$F$132</c:f>
              <c:numCache/>
            </c:numRef>
          </c:yVal>
          <c:smooth val="1"/>
        </c:ser>
        <c:ser>
          <c:idx val="4"/>
          <c:order val="4"/>
          <c:tx>
            <c:strRef>
              <c:f>'Nelson-Siegel'!$G$12</c:f>
              <c:strCache>
                <c:ptCount val="1"/>
                <c:pt idx="0">
                  <c:v>Zins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/>
            </c:numRef>
          </c:xVal>
          <c:yVal>
            <c:numRef>
              <c:f>'Nelson-Siegel'!$G$13:$G$132</c:f>
              <c:numCache/>
            </c:numRef>
          </c:yVal>
          <c:smooth val="1"/>
        </c:ser>
        <c:ser>
          <c:idx val="5"/>
          <c:order val="5"/>
          <c:tx>
            <c:strRef>
              <c:f>'Nelson-Siegel'!$H$12</c:f>
              <c:strCache>
                <c:ptCount val="1"/>
                <c:pt idx="0">
                  <c:v>Zins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/>
            </c:numRef>
          </c:xVal>
          <c:yVal>
            <c:numRef>
              <c:f>'Nelson-Siegel'!$H$13:$H$132</c:f>
              <c:numCache/>
            </c:numRef>
          </c:yVal>
          <c:smooth val="1"/>
        </c:ser>
        <c:ser>
          <c:idx val="6"/>
          <c:order val="6"/>
          <c:tx>
            <c:strRef>
              <c:f>'Nelson-Siegel'!$I$12</c:f>
              <c:strCache>
                <c:ptCount val="1"/>
                <c:pt idx="0">
                  <c:v>Zins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/>
            </c:numRef>
          </c:xVal>
          <c:yVal>
            <c:numRef>
              <c:f>'Nelson-Siegel'!$I$13:$I$132</c:f>
              <c:numCache/>
            </c:numRef>
          </c:yVal>
          <c:smooth val="1"/>
        </c:ser>
        <c:ser>
          <c:idx val="7"/>
          <c:order val="7"/>
          <c:tx>
            <c:strRef>
              <c:f>'Nelson-Siegel'!$J$12</c:f>
              <c:strCache>
                <c:ptCount val="1"/>
                <c:pt idx="0">
                  <c:v>Zins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/>
            </c:numRef>
          </c:xVal>
          <c:yVal>
            <c:numRef>
              <c:f>'Nelson-Siegel'!$J$13:$J$132</c:f>
              <c:numCache/>
            </c:numRef>
          </c:yVal>
          <c:smooth val="1"/>
        </c:ser>
        <c:ser>
          <c:idx val="8"/>
          <c:order val="8"/>
          <c:tx>
            <c:strRef>
              <c:f>'Nelson-Siegel'!$K$12</c:f>
              <c:strCache>
                <c:ptCount val="1"/>
                <c:pt idx="0">
                  <c:v>Zins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/>
            </c:numRef>
          </c:xVal>
          <c:yVal>
            <c:numRef>
              <c:f>'Nelson-Siegel'!$K$13:$K$132</c:f>
              <c:numCache/>
            </c:numRef>
          </c:yVal>
          <c:smooth val="1"/>
        </c:ser>
        <c:ser>
          <c:idx val="9"/>
          <c:order val="9"/>
          <c:tx>
            <c:strRef>
              <c:f>'Nelson-Siegel'!$L$12</c:f>
              <c:strCache>
                <c:ptCount val="1"/>
                <c:pt idx="0">
                  <c:v>Zins 10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'Nelson-Siegel'!$B$13:$B$132</c:f>
              <c:numCache/>
            </c:numRef>
          </c:xVal>
          <c:yVal>
            <c:numRef>
              <c:f>'Nelson-Siegel'!$L$13:$L$132</c:f>
              <c:numCache/>
            </c:numRef>
          </c:yVal>
          <c:smooth val="1"/>
        </c:ser>
        <c:axId val="26801481"/>
        <c:axId val="39886738"/>
      </c:scatterChart>
      <c:valAx>
        <c:axId val="26801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Laufzeit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86738"/>
        <c:crosses val="autoZero"/>
        <c:crossBetween val="midCat"/>
        <c:dispUnits/>
      </c:valAx>
      <c:valAx>
        <c:axId val="39886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Zinssatz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014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30</xdr:row>
      <xdr:rowOff>142875</xdr:rowOff>
    </xdr:from>
    <xdr:to>
      <xdr:col>6</xdr:col>
      <xdr:colOff>676275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752475" y="5000625"/>
        <a:ext cx="46672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742950</xdr:colOff>
      <xdr:row>30</xdr:row>
      <xdr:rowOff>142875</xdr:rowOff>
    </xdr:from>
    <xdr:to>
      <xdr:col>12</xdr:col>
      <xdr:colOff>590550</xdr:colOff>
      <xdr:row>45</xdr:row>
      <xdr:rowOff>123825</xdr:rowOff>
    </xdr:to>
    <xdr:graphicFrame>
      <xdr:nvGraphicFramePr>
        <xdr:cNvPr id="2" name="Chart 2"/>
        <xdr:cNvGraphicFramePr/>
      </xdr:nvGraphicFramePr>
      <xdr:xfrm>
        <a:off x="5486400" y="5000625"/>
        <a:ext cx="46767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38100</xdr:rowOff>
    </xdr:from>
    <xdr:to>
      <xdr:col>6</xdr:col>
      <xdr:colOff>95250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0" y="1495425"/>
        <a:ext cx="51911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9</xdr:row>
      <xdr:rowOff>38100</xdr:rowOff>
    </xdr:from>
    <xdr:to>
      <xdr:col>12</xdr:col>
      <xdr:colOff>228600</xdr:colOff>
      <xdr:row>25</xdr:row>
      <xdr:rowOff>85725</xdr:rowOff>
    </xdr:to>
    <xdr:graphicFrame>
      <xdr:nvGraphicFramePr>
        <xdr:cNvPr id="2" name="Chart 2"/>
        <xdr:cNvGraphicFramePr/>
      </xdr:nvGraphicFramePr>
      <xdr:xfrm>
        <a:off x="5181600" y="1495425"/>
        <a:ext cx="47148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66675</xdr:rowOff>
    </xdr:from>
    <xdr:to>
      <xdr:col>6</xdr:col>
      <xdr:colOff>95250</xdr:colOff>
      <xdr:row>41</xdr:row>
      <xdr:rowOff>95250</xdr:rowOff>
    </xdr:to>
    <xdr:graphicFrame>
      <xdr:nvGraphicFramePr>
        <xdr:cNvPr id="3" name="Chart 3"/>
        <xdr:cNvGraphicFramePr/>
      </xdr:nvGraphicFramePr>
      <xdr:xfrm>
        <a:off x="0" y="4114800"/>
        <a:ext cx="51911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95250</xdr:colOff>
      <xdr:row>25</xdr:row>
      <xdr:rowOff>66675</xdr:rowOff>
    </xdr:from>
    <xdr:to>
      <xdr:col>12</xdr:col>
      <xdr:colOff>228600</xdr:colOff>
      <xdr:row>41</xdr:row>
      <xdr:rowOff>123825</xdr:rowOff>
    </xdr:to>
    <xdr:graphicFrame>
      <xdr:nvGraphicFramePr>
        <xdr:cNvPr id="4" name="Chart 4"/>
        <xdr:cNvGraphicFramePr/>
      </xdr:nvGraphicFramePr>
      <xdr:xfrm>
        <a:off x="5191125" y="4114800"/>
        <a:ext cx="47053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228600</xdr:colOff>
      <xdr:row>25</xdr:row>
      <xdr:rowOff>66675</xdr:rowOff>
    </xdr:from>
    <xdr:to>
      <xdr:col>18</xdr:col>
      <xdr:colOff>95250</xdr:colOff>
      <xdr:row>41</xdr:row>
      <xdr:rowOff>133350</xdr:rowOff>
    </xdr:to>
    <xdr:graphicFrame>
      <xdr:nvGraphicFramePr>
        <xdr:cNvPr id="5" name="Chart 5"/>
        <xdr:cNvGraphicFramePr/>
      </xdr:nvGraphicFramePr>
      <xdr:xfrm>
        <a:off x="9896475" y="4114800"/>
        <a:ext cx="4438650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228600</xdr:colOff>
      <xdr:row>9</xdr:row>
      <xdr:rowOff>38100</xdr:rowOff>
    </xdr:from>
    <xdr:to>
      <xdr:col>18</xdr:col>
      <xdr:colOff>95250</xdr:colOff>
      <xdr:row>25</xdr:row>
      <xdr:rowOff>76200</xdr:rowOff>
    </xdr:to>
    <xdr:graphicFrame>
      <xdr:nvGraphicFramePr>
        <xdr:cNvPr id="6" name="Chart 6"/>
        <xdr:cNvGraphicFramePr/>
      </xdr:nvGraphicFramePr>
      <xdr:xfrm>
        <a:off x="9896475" y="1495425"/>
        <a:ext cx="4438650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14</xdr:row>
      <xdr:rowOff>9525</xdr:rowOff>
    </xdr:from>
    <xdr:to>
      <xdr:col>8</xdr:col>
      <xdr:colOff>28575</xdr:colOff>
      <xdr:row>29</xdr:row>
      <xdr:rowOff>114300</xdr:rowOff>
    </xdr:to>
    <xdr:graphicFrame>
      <xdr:nvGraphicFramePr>
        <xdr:cNvPr id="1" name="Chart 3"/>
        <xdr:cNvGraphicFramePr/>
      </xdr:nvGraphicFramePr>
      <xdr:xfrm>
        <a:off x="1457325" y="2276475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14</xdr:row>
      <xdr:rowOff>9525</xdr:rowOff>
    </xdr:from>
    <xdr:to>
      <xdr:col>14</xdr:col>
      <xdr:colOff>114300</xdr:colOff>
      <xdr:row>29</xdr:row>
      <xdr:rowOff>114300</xdr:rowOff>
    </xdr:to>
    <xdr:graphicFrame>
      <xdr:nvGraphicFramePr>
        <xdr:cNvPr id="2" name="Chart 4"/>
        <xdr:cNvGraphicFramePr/>
      </xdr:nvGraphicFramePr>
      <xdr:xfrm>
        <a:off x="6115050" y="2276475"/>
        <a:ext cx="46672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104775</xdr:colOff>
      <xdr:row>14</xdr:row>
      <xdr:rowOff>9525</xdr:rowOff>
    </xdr:from>
    <xdr:to>
      <xdr:col>20</xdr:col>
      <xdr:colOff>200025</xdr:colOff>
      <xdr:row>29</xdr:row>
      <xdr:rowOff>114300</xdr:rowOff>
    </xdr:to>
    <xdr:graphicFrame>
      <xdr:nvGraphicFramePr>
        <xdr:cNvPr id="3" name="Chart 5"/>
        <xdr:cNvGraphicFramePr/>
      </xdr:nvGraphicFramePr>
      <xdr:xfrm>
        <a:off x="10772775" y="2276475"/>
        <a:ext cx="466725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14</xdr:row>
      <xdr:rowOff>152400</xdr:rowOff>
    </xdr:from>
    <xdr:to>
      <xdr:col>7</xdr:col>
      <xdr:colOff>66675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733425" y="2419350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647700</xdr:colOff>
      <xdr:row>10</xdr:row>
      <xdr:rowOff>47625</xdr:rowOff>
    </xdr:from>
    <xdr:to>
      <xdr:col>22</xdr:col>
      <xdr:colOff>180975</xdr:colOff>
      <xdr:row>30</xdr:row>
      <xdr:rowOff>133350</xdr:rowOff>
    </xdr:to>
    <xdr:graphicFrame>
      <xdr:nvGraphicFramePr>
        <xdr:cNvPr id="1" name="Chart 2"/>
        <xdr:cNvGraphicFramePr/>
      </xdr:nvGraphicFramePr>
      <xdr:xfrm>
        <a:off x="10553700" y="1666875"/>
        <a:ext cx="6391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285750</xdr:colOff>
      <xdr:row>10</xdr:row>
      <xdr:rowOff>95250</xdr:rowOff>
    </xdr:from>
    <xdr:to>
      <xdr:col>47</xdr:col>
      <xdr:colOff>38100</xdr:colOff>
      <xdr:row>26</xdr:row>
      <xdr:rowOff>123825</xdr:rowOff>
    </xdr:to>
    <xdr:graphicFrame>
      <xdr:nvGraphicFramePr>
        <xdr:cNvPr id="2" name="Chart 9"/>
        <xdr:cNvGraphicFramePr/>
      </xdr:nvGraphicFramePr>
      <xdr:xfrm>
        <a:off x="32375475" y="1714500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0</xdr:colOff>
      <xdr:row>54</xdr:row>
      <xdr:rowOff>47625</xdr:rowOff>
    </xdr:from>
    <xdr:to>
      <xdr:col>45</xdr:col>
      <xdr:colOff>0</xdr:colOff>
      <xdr:row>66</xdr:row>
      <xdr:rowOff>85725</xdr:rowOff>
    </xdr:to>
    <xdr:graphicFrame>
      <xdr:nvGraphicFramePr>
        <xdr:cNvPr id="3" name="Chart 12"/>
        <xdr:cNvGraphicFramePr/>
      </xdr:nvGraphicFramePr>
      <xdr:xfrm>
        <a:off x="34375725" y="8791575"/>
        <a:ext cx="0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45</xdr:col>
      <xdr:colOff>0</xdr:colOff>
      <xdr:row>63</xdr:row>
      <xdr:rowOff>57150</xdr:rowOff>
    </xdr:from>
    <xdr:to>
      <xdr:col>45</xdr:col>
      <xdr:colOff>0</xdr:colOff>
      <xdr:row>77</xdr:row>
      <xdr:rowOff>57150</xdr:rowOff>
    </xdr:to>
    <xdr:graphicFrame>
      <xdr:nvGraphicFramePr>
        <xdr:cNvPr id="4" name="Chart 13"/>
        <xdr:cNvGraphicFramePr/>
      </xdr:nvGraphicFramePr>
      <xdr:xfrm>
        <a:off x="34375725" y="10258425"/>
        <a:ext cx="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45</xdr:col>
      <xdr:colOff>0</xdr:colOff>
      <xdr:row>10</xdr:row>
      <xdr:rowOff>38100</xdr:rowOff>
    </xdr:from>
    <xdr:to>
      <xdr:col>45</xdr:col>
      <xdr:colOff>0</xdr:colOff>
      <xdr:row>23</xdr:row>
      <xdr:rowOff>142875</xdr:rowOff>
    </xdr:to>
    <xdr:graphicFrame>
      <xdr:nvGraphicFramePr>
        <xdr:cNvPr id="5" name="Chart 14"/>
        <xdr:cNvGraphicFramePr/>
      </xdr:nvGraphicFramePr>
      <xdr:xfrm>
        <a:off x="34375725" y="1657350"/>
        <a:ext cx="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180975</xdr:colOff>
      <xdr:row>10</xdr:row>
      <xdr:rowOff>28575</xdr:rowOff>
    </xdr:from>
    <xdr:to>
      <xdr:col>29</xdr:col>
      <xdr:colOff>742950</xdr:colOff>
      <xdr:row>29</xdr:row>
      <xdr:rowOff>114300</xdr:rowOff>
    </xdr:to>
    <xdr:graphicFrame>
      <xdr:nvGraphicFramePr>
        <xdr:cNvPr id="6" name="Chart 19"/>
        <xdr:cNvGraphicFramePr/>
      </xdr:nvGraphicFramePr>
      <xdr:xfrm>
        <a:off x="16944975" y="1647825"/>
        <a:ext cx="5981700" cy="3162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34</xdr:col>
      <xdr:colOff>714375</xdr:colOff>
      <xdr:row>11</xdr:row>
      <xdr:rowOff>133350</xdr:rowOff>
    </xdr:from>
    <xdr:to>
      <xdr:col>40</xdr:col>
      <xdr:colOff>714375</xdr:colOff>
      <xdr:row>25</xdr:row>
      <xdr:rowOff>104775</xdr:rowOff>
    </xdr:to>
    <xdr:graphicFrame>
      <xdr:nvGraphicFramePr>
        <xdr:cNvPr id="7" name="Chart 25"/>
        <xdr:cNvGraphicFramePr/>
      </xdr:nvGraphicFramePr>
      <xdr:xfrm>
        <a:off x="26708100" y="1914525"/>
        <a:ext cx="4572000" cy="2238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10</xdr:row>
      <xdr:rowOff>19050</xdr:rowOff>
    </xdr:from>
    <xdr:to>
      <xdr:col>10</xdr:col>
      <xdr:colOff>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1485900" y="1638300"/>
        <a:ext cx="61341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16</xdr:row>
      <xdr:rowOff>38100</xdr:rowOff>
    </xdr:from>
    <xdr:to>
      <xdr:col>8</xdr:col>
      <xdr:colOff>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1533525" y="2628900"/>
        <a:ext cx="45624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16</xdr:row>
      <xdr:rowOff>38100</xdr:rowOff>
    </xdr:from>
    <xdr:to>
      <xdr:col>12</xdr:col>
      <xdr:colOff>733425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6105525" y="2628900"/>
        <a:ext cx="3771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12</xdr:col>
      <xdr:colOff>742950</xdr:colOff>
      <xdr:row>47</xdr:row>
      <xdr:rowOff>123825</xdr:rowOff>
    </xdr:to>
    <xdr:graphicFrame>
      <xdr:nvGraphicFramePr>
        <xdr:cNvPr id="3" name="Chart 4"/>
        <xdr:cNvGraphicFramePr/>
      </xdr:nvGraphicFramePr>
      <xdr:xfrm>
        <a:off x="6096000" y="5181600"/>
        <a:ext cx="37909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742950</xdr:colOff>
      <xdr:row>10</xdr:row>
      <xdr:rowOff>19050</xdr:rowOff>
    </xdr:from>
    <xdr:to>
      <xdr:col>20</xdr:col>
      <xdr:colOff>904875</xdr:colOff>
      <xdr:row>31</xdr:row>
      <xdr:rowOff>133350</xdr:rowOff>
    </xdr:to>
    <xdr:graphicFrame>
      <xdr:nvGraphicFramePr>
        <xdr:cNvPr id="4" name="Chart 7"/>
        <xdr:cNvGraphicFramePr/>
      </xdr:nvGraphicFramePr>
      <xdr:xfrm>
        <a:off x="9886950" y="1638300"/>
        <a:ext cx="7905750" cy="3514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lyn.demon.co.uk/zeller-c.htm" TargetMode="Externa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B3:T28"/>
  <sheetViews>
    <sheetView workbookViewId="0" topLeftCell="A1">
      <selection activeCell="C34" sqref="C34"/>
    </sheetView>
  </sheetViews>
  <sheetFormatPr defaultColWidth="11.421875" defaultRowHeight="12.75"/>
  <cols>
    <col min="1" max="3" width="11.421875" style="37" customWidth="1"/>
    <col min="4" max="4" width="13.140625" style="37" bestFit="1" customWidth="1"/>
    <col min="5" max="5" width="12.28125" style="37" customWidth="1"/>
    <col min="6" max="6" width="11.421875" style="37" customWidth="1"/>
    <col min="7" max="7" width="13.00390625" style="37" bestFit="1" customWidth="1"/>
    <col min="8" max="8" width="11.57421875" style="133" customWidth="1"/>
    <col min="9" max="9" width="13.57421875" style="37" bestFit="1" customWidth="1"/>
    <col min="10" max="15" width="11.421875" style="37" customWidth="1"/>
    <col min="16" max="16" width="13.140625" style="37" bestFit="1" customWidth="1"/>
    <col min="17" max="19" width="11.421875" style="37" customWidth="1"/>
    <col min="20" max="20" width="13.57421875" style="37" bestFit="1" customWidth="1"/>
    <col min="21" max="16384" width="11.421875" style="37" customWidth="1"/>
  </cols>
  <sheetData>
    <row r="3" spans="2:20" ht="12.75">
      <c r="B3" s="38" t="s">
        <v>245</v>
      </c>
      <c r="H3" s="37" t="s">
        <v>265</v>
      </c>
      <c r="N3" s="38" t="s">
        <v>244</v>
      </c>
      <c r="T3" s="133"/>
    </row>
    <row r="4" ht="12.75">
      <c r="T4" s="133"/>
    </row>
    <row r="5" spans="3:20" ht="12.75">
      <c r="C5" s="30" t="s">
        <v>144</v>
      </c>
      <c r="D5" s="30" t="s">
        <v>236</v>
      </c>
      <c r="E5" s="30" t="s">
        <v>237</v>
      </c>
      <c r="F5" s="30" t="s">
        <v>179</v>
      </c>
      <c r="G5" s="30" t="s">
        <v>239</v>
      </c>
      <c r="H5" s="134" t="s">
        <v>242</v>
      </c>
      <c r="I5" s="30" t="s">
        <v>246</v>
      </c>
      <c r="J5" s="30" t="s">
        <v>264</v>
      </c>
      <c r="O5" s="30" t="s">
        <v>144</v>
      </c>
      <c r="P5" s="30" t="s">
        <v>236</v>
      </c>
      <c r="Q5" s="30" t="s">
        <v>237</v>
      </c>
      <c r="R5" s="30" t="s">
        <v>179</v>
      </c>
      <c r="S5" s="30" t="s">
        <v>239</v>
      </c>
      <c r="T5" s="134" t="s">
        <v>242</v>
      </c>
    </row>
    <row r="6" spans="3:20" ht="12.75">
      <c r="C6" s="31">
        <v>1</v>
      </c>
      <c r="D6" s="31">
        <v>-1000</v>
      </c>
      <c r="E6" s="31">
        <v>150</v>
      </c>
      <c r="F6" s="40">
        <v>0.1</v>
      </c>
      <c r="G6" s="40">
        <v>0.05</v>
      </c>
      <c r="H6" s="135">
        <f>SUM(H8:H28)</f>
        <v>290.94669551940615</v>
      </c>
      <c r="I6" s="41">
        <f>SUM(I8:I28)</f>
        <v>1000</v>
      </c>
      <c r="J6" s="41">
        <f>SUM(J8:J28)</f>
        <v>716.0974822505012</v>
      </c>
      <c r="O6" s="31">
        <f>0.25</f>
        <v>0.25</v>
      </c>
      <c r="P6" s="31">
        <v>-1000</v>
      </c>
      <c r="Q6" s="31">
        <v>1000</v>
      </c>
      <c r="R6" s="40">
        <v>0.1</v>
      </c>
      <c r="S6" s="40">
        <v>0.05</v>
      </c>
      <c r="T6" s="135">
        <f>SUM(T8:T28)</f>
        <v>12.892921018310311</v>
      </c>
    </row>
    <row r="7" spans="2:20" ht="12.75">
      <c r="B7" s="30" t="s">
        <v>32</v>
      </c>
      <c r="C7" s="30" t="s">
        <v>235</v>
      </c>
      <c r="D7" s="30" t="s">
        <v>240</v>
      </c>
      <c r="E7" s="30" t="s">
        <v>268</v>
      </c>
      <c r="F7" s="30" t="s">
        <v>267</v>
      </c>
      <c r="G7" s="30" t="s">
        <v>234</v>
      </c>
      <c r="H7" s="134" t="s">
        <v>241</v>
      </c>
      <c r="I7" s="30" t="s">
        <v>269</v>
      </c>
      <c r="J7" s="30" t="s">
        <v>266</v>
      </c>
      <c r="N7" s="30" t="s">
        <v>32</v>
      </c>
      <c r="O7" s="30" t="s">
        <v>235</v>
      </c>
      <c r="P7" s="30" t="s">
        <v>240</v>
      </c>
      <c r="Q7" s="30" t="s">
        <v>238</v>
      </c>
      <c r="R7" s="30" t="s">
        <v>243</v>
      </c>
      <c r="S7" s="30" t="s">
        <v>234</v>
      </c>
      <c r="T7" s="134" t="s">
        <v>241</v>
      </c>
    </row>
    <row r="8" spans="2:20" ht="12.75">
      <c r="B8" s="1">
        <v>0</v>
      </c>
      <c r="C8" s="1">
        <f aca="true" t="shared" si="0" ref="C8:C18">B8*$C$6</f>
        <v>0</v>
      </c>
      <c r="D8" s="41">
        <f>$D$6</f>
        <v>-1000</v>
      </c>
      <c r="E8" s="41">
        <f>D6</f>
        <v>-1000</v>
      </c>
      <c r="F8" s="41">
        <v>0</v>
      </c>
      <c r="G8" s="1">
        <f aca="true" t="shared" si="1" ref="G8:G28">1/(1+$G$6)^C8</f>
        <v>1</v>
      </c>
      <c r="H8" s="41">
        <f aca="true" t="shared" si="2" ref="H8:H28">D8*G8</f>
        <v>-1000</v>
      </c>
      <c r="I8" s="41">
        <f>0</f>
        <v>0</v>
      </c>
      <c r="J8" s="41">
        <f>E8</f>
        <v>-1000</v>
      </c>
      <c r="N8" s="1">
        <v>0</v>
      </c>
      <c r="O8" s="1">
        <f>N8*$O$6</f>
        <v>0</v>
      </c>
      <c r="P8" s="41">
        <f>$P$6</f>
        <v>-1000</v>
      </c>
      <c r="Q8" s="41">
        <f>P6</f>
        <v>-1000</v>
      </c>
      <c r="R8" s="41">
        <v>0</v>
      </c>
      <c r="S8" s="1">
        <f>EXP(-$S$6*O8)</f>
        <v>1</v>
      </c>
      <c r="T8" s="41">
        <f>P8*S8</f>
        <v>-1000</v>
      </c>
    </row>
    <row r="9" spans="2:20" ht="12.75">
      <c r="B9" s="1">
        <v>1</v>
      </c>
      <c r="C9" s="1">
        <f t="shared" si="0"/>
        <v>1</v>
      </c>
      <c r="D9" s="41">
        <f>MIN($E$6,-(E8+F9))</f>
        <v>150</v>
      </c>
      <c r="E9" s="41">
        <f>E8+D9+F9</f>
        <v>-950.0000000000001</v>
      </c>
      <c r="F9" s="41">
        <f>E8*((1+$F$6)^(C9-C8)-1)</f>
        <v>-100.00000000000009</v>
      </c>
      <c r="G9" s="1">
        <f t="shared" si="1"/>
        <v>0.9523809523809523</v>
      </c>
      <c r="H9" s="41">
        <f t="shared" si="2"/>
        <v>142.85714285714286</v>
      </c>
      <c r="I9" s="41">
        <f aca="true" t="shared" si="3" ref="I9:I28">D9+F9</f>
        <v>49.999999999999915</v>
      </c>
      <c r="J9" s="41">
        <f>MIN($E$6,-E8+F9)</f>
        <v>150</v>
      </c>
      <c r="N9" s="1">
        <v>1</v>
      </c>
      <c r="O9" s="1">
        <f aca="true" t="shared" si="4" ref="O9:O28">N9*$O$6</f>
        <v>0.25</v>
      </c>
      <c r="P9" s="41">
        <f>MIN($Q$6,-(Q8+R9))</f>
        <v>1000</v>
      </c>
      <c r="Q9" s="41">
        <f>Q8+P9+R9</f>
        <v>-25.315120524428856</v>
      </c>
      <c r="R9" s="41">
        <f>Q8*(EXP($R$6*(O9-O8))-1)</f>
        <v>-25.315120524428856</v>
      </c>
      <c r="S9" s="1">
        <f aca="true" t="shared" si="5" ref="S9:S28">EXP(-$S$6*O9)</f>
        <v>0.9875778004938814</v>
      </c>
      <c r="T9" s="41">
        <f aca="true" t="shared" si="6" ref="T9:T28">P9*S9</f>
        <v>987.5778004938815</v>
      </c>
    </row>
    <row r="10" spans="2:20" ht="12.75">
      <c r="B10" s="1">
        <v>2</v>
      </c>
      <c r="C10" s="1">
        <f t="shared" si="0"/>
        <v>2</v>
      </c>
      <c r="D10" s="41">
        <f aca="true" t="shared" si="7" ref="D10:D28">MIN($E$6,-(E9+F10))</f>
        <v>150</v>
      </c>
      <c r="E10" s="41">
        <f aca="true" t="shared" si="8" ref="E10:E28">E9+D10+F10</f>
        <v>-895.0000000000002</v>
      </c>
      <c r="F10" s="41">
        <f aca="true" t="shared" si="9" ref="F10:F28">E9*((1+$F$6)^(C10-C9)-1)</f>
        <v>-95.0000000000001</v>
      </c>
      <c r="G10" s="1">
        <f t="shared" si="1"/>
        <v>0.9070294784580498</v>
      </c>
      <c r="H10" s="41">
        <f t="shared" si="2"/>
        <v>136.05442176870747</v>
      </c>
      <c r="I10" s="41">
        <f t="shared" si="3"/>
        <v>54.9999999999999</v>
      </c>
      <c r="J10" s="41">
        <f aca="true" t="shared" si="10" ref="J10:J28">MIN($E$6,-E9+F10)</f>
        <v>150</v>
      </c>
      <c r="N10" s="1">
        <v>2</v>
      </c>
      <c r="O10" s="1">
        <f t="shared" si="4"/>
        <v>0.5</v>
      </c>
      <c r="P10" s="41">
        <f aca="true" t="shared" si="11" ref="P10:P28">MIN($Q$6,-(Q9+R10))</f>
        <v>25.955975851595216</v>
      </c>
      <c r="Q10" s="41">
        <f aca="true" t="shared" si="12" ref="Q10:Q28">Q9+P10+R10</f>
        <v>0</v>
      </c>
      <c r="R10" s="41">
        <f aca="true" t="shared" si="13" ref="R10:R28">Q9*(EXP($R$6*(O10-O9))-1)</f>
        <v>-0.6408553271663592</v>
      </c>
      <c r="S10" s="1">
        <f t="shared" si="5"/>
        <v>0.9753099120283326</v>
      </c>
      <c r="T10" s="41">
        <f t="shared" si="6"/>
        <v>25.315120524428856</v>
      </c>
    </row>
    <row r="11" spans="2:20" ht="12.75">
      <c r="B11" s="1">
        <v>3</v>
      </c>
      <c r="C11" s="1">
        <f t="shared" si="0"/>
        <v>3</v>
      </c>
      <c r="D11" s="41">
        <f t="shared" si="7"/>
        <v>150</v>
      </c>
      <c r="E11" s="41">
        <f t="shared" si="8"/>
        <v>-834.5000000000003</v>
      </c>
      <c r="F11" s="41">
        <f t="shared" si="9"/>
        <v>-89.5000000000001</v>
      </c>
      <c r="G11" s="1">
        <f t="shared" si="1"/>
        <v>0.863837598531476</v>
      </c>
      <c r="H11" s="41">
        <f t="shared" si="2"/>
        <v>129.5756397797214</v>
      </c>
      <c r="I11" s="41">
        <f t="shared" si="3"/>
        <v>60.4999999999999</v>
      </c>
      <c r="J11" s="41">
        <f t="shared" si="10"/>
        <v>150</v>
      </c>
      <c r="N11" s="1">
        <v>3</v>
      </c>
      <c r="O11" s="1">
        <f t="shared" si="4"/>
        <v>0.75</v>
      </c>
      <c r="P11" s="41">
        <f t="shared" si="11"/>
        <v>0</v>
      </c>
      <c r="Q11" s="41">
        <f t="shared" si="12"/>
        <v>0</v>
      </c>
      <c r="R11" s="41">
        <f t="shared" si="13"/>
        <v>0</v>
      </c>
      <c r="S11" s="1">
        <f t="shared" si="5"/>
        <v>0.9631944177208218</v>
      </c>
      <c r="T11" s="41">
        <f t="shared" si="6"/>
        <v>0</v>
      </c>
    </row>
    <row r="12" spans="2:20" ht="12.75">
      <c r="B12" s="1">
        <v>4</v>
      </c>
      <c r="C12" s="1">
        <f t="shared" si="0"/>
        <v>4</v>
      </c>
      <c r="D12" s="41">
        <f t="shared" si="7"/>
        <v>150</v>
      </c>
      <c r="E12" s="41">
        <f t="shared" si="8"/>
        <v>-767.9500000000005</v>
      </c>
      <c r="F12" s="41">
        <f t="shared" si="9"/>
        <v>-83.4500000000001</v>
      </c>
      <c r="G12" s="1">
        <f t="shared" si="1"/>
        <v>0.822702474791882</v>
      </c>
      <c r="H12" s="41">
        <f t="shared" si="2"/>
        <v>123.40537121878229</v>
      </c>
      <c r="I12" s="41">
        <f t="shared" si="3"/>
        <v>66.5499999999999</v>
      </c>
      <c r="J12" s="41">
        <f t="shared" si="10"/>
        <v>150</v>
      </c>
      <c r="N12" s="1">
        <v>4</v>
      </c>
      <c r="O12" s="1">
        <f t="shared" si="4"/>
        <v>1</v>
      </c>
      <c r="P12" s="41">
        <f t="shared" si="11"/>
        <v>0</v>
      </c>
      <c r="Q12" s="41">
        <f t="shared" si="12"/>
        <v>0</v>
      </c>
      <c r="R12" s="41">
        <f t="shared" si="13"/>
        <v>0</v>
      </c>
      <c r="S12" s="1">
        <f t="shared" si="5"/>
        <v>0.951229424500714</v>
      </c>
      <c r="T12" s="41">
        <f t="shared" si="6"/>
        <v>0</v>
      </c>
    </row>
    <row r="13" spans="2:20" ht="12.75">
      <c r="B13" s="1">
        <v>5</v>
      </c>
      <c r="C13" s="1">
        <f t="shared" si="0"/>
        <v>5</v>
      </c>
      <c r="D13" s="41">
        <f t="shared" si="7"/>
        <v>150</v>
      </c>
      <c r="E13" s="41">
        <f t="shared" si="8"/>
        <v>-694.7450000000006</v>
      </c>
      <c r="F13" s="41">
        <f t="shared" si="9"/>
        <v>-76.79500000000012</v>
      </c>
      <c r="G13" s="1">
        <f t="shared" si="1"/>
        <v>0.783526166468459</v>
      </c>
      <c r="H13" s="41">
        <f t="shared" si="2"/>
        <v>117.52892497026885</v>
      </c>
      <c r="I13" s="41">
        <f t="shared" si="3"/>
        <v>73.20499999999988</v>
      </c>
      <c r="J13" s="41">
        <f t="shared" si="10"/>
        <v>150</v>
      </c>
      <c r="N13" s="1">
        <v>5</v>
      </c>
      <c r="O13" s="1">
        <f t="shared" si="4"/>
        <v>1.25</v>
      </c>
      <c r="P13" s="41">
        <f t="shared" si="11"/>
        <v>0</v>
      </c>
      <c r="Q13" s="41">
        <f t="shared" si="12"/>
        <v>0</v>
      </c>
      <c r="R13" s="41">
        <f t="shared" si="13"/>
        <v>0</v>
      </c>
      <c r="S13" s="1">
        <f t="shared" si="5"/>
        <v>0.9394130628134758</v>
      </c>
      <c r="T13" s="41">
        <f t="shared" si="6"/>
        <v>0</v>
      </c>
    </row>
    <row r="14" spans="2:20" ht="12.75">
      <c r="B14" s="1">
        <v>6</v>
      </c>
      <c r="C14" s="1">
        <f t="shared" si="0"/>
        <v>6</v>
      </c>
      <c r="D14" s="41">
        <f t="shared" si="7"/>
        <v>150</v>
      </c>
      <c r="E14" s="41">
        <f t="shared" si="8"/>
        <v>-614.2195000000007</v>
      </c>
      <c r="F14" s="41">
        <f t="shared" si="9"/>
        <v>-69.47450000000012</v>
      </c>
      <c r="G14" s="1">
        <f t="shared" si="1"/>
        <v>0.7462153966366276</v>
      </c>
      <c r="H14" s="41">
        <f t="shared" si="2"/>
        <v>111.93230949549414</v>
      </c>
      <c r="I14" s="41">
        <f t="shared" si="3"/>
        <v>80.52549999999988</v>
      </c>
      <c r="J14" s="41">
        <f t="shared" si="10"/>
        <v>150</v>
      </c>
      <c r="N14" s="1">
        <v>6</v>
      </c>
      <c r="O14" s="1">
        <f t="shared" si="4"/>
        <v>1.5</v>
      </c>
      <c r="P14" s="41">
        <f t="shared" si="11"/>
        <v>0</v>
      </c>
      <c r="Q14" s="41">
        <f t="shared" si="12"/>
        <v>0</v>
      </c>
      <c r="R14" s="41">
        <f t="shared" si="13"/>
        <v>0</v>
      </c>
      <c r="S14" s="1">
        <f t="shared" si="5"/>
        <v>0.9277434863285529</v>
      </c>
      <c r="T14" s="41">
        <f t="shared" si="6"/>
        <v>0</v>
      </c>
    </row>
    <row r="15" spans="2:20" ht="12.75">
      <c r="B15" s="1">
        <v>7</v>
      </c>
      <c r="C15" s="1">
        <f t="shared" si="0"/>
        <v>7</v>
      </c>
      <c r="D15" s="41">
        <f t="shared" si="7"/>
        <v>150</v>
      </c>
      <c r="E15" s="41">
        <f t="shared" si="8"/>
        <v>-525.6414500000009</v>
      </c>
      <c r="F15" s="41">
        <f t="shared" si="9"/>
        <v>-61.42195000000012</v>
      </c>
      <c r="G15" s="1">
        <f t="shared" si="1"/>
        <v>0.7106813301301215</v>
      </c>
      <c r="H15" s="41">
        <f t="shared" si="2"/>
        <v>106.60219951951822</v>
      </c>
      <c r="I15" s="41">
        <f t="shared" si="3"/>
        <v>88.57804999999988</v>
      </c>
      <c r="J15" s="41">
        <f t="shared" si="10"/>
        <v>150</v>
      </c>
      <c r="N15" s="1">
        <v>7</v>
      </c>
      <c r="O15" s="1">
        <f t="shared" si="4"/>
        <v>1.75</v>
      </c>
      <c r="P15" s="41">
        <f t="shared" si="11"/>
        <v>0</v>
      </c>
      <c r="Q15" s="41">
        <f t="shared" si="12"/>
        <v>0</v>
      </c>
      <c r="R15" s="41">
        <f t="shared" si="13"/>
        <v>0</v>
      </c>
      <c r="S15" s="1">
        <f t="shared" si="5"/>
        <v>0.9162188716508776</v>
      </c>
      <c r="T15" s="41">
        <f t="shared" si="6"/>
        <v>0</v>
      </c>
    </row>
    <row r="16" spans="2:20" ht="12.75">
      <c r="B16" s="1">
        <v>8</v>
      </c>
      <c r="C16" s="1">
        <f t="shared" si="0"/>
        <v>8</v>
      </c>
      <c r="D16" s="41">
        <f t="shared" si="7"/>
        <v>150</v>
      </c>
      <c r="E16" s="41">
        <f t="shared" si="8"/>
        <v>-428.205595000001</v>
      </c>
      <c r="F16" s="41">
        <f t="shared" si="9"/>
        <v>-52.56414500000013</v>
      </c>
      <c r="G16" s="1">
        <f t="shared" si="1"/>
        <v>0.6768393620286872</v>
      </c>
      <c r="H16" s="41">
        <f t="shared" si="2"/>
        <v>101.52590430430308</v>
      </c>
      <c r="I16" s="41">
        <f t="shared" si="3"/>
        <v>97.43585499999986</v>
      </c>
      <c r="J16" s="41">
        <f t="shared" si="10"/>
        <v>150</v>
      </c>
      <c r="N16" s="1">
        <v>8</v>
      </c>
      <c r="O16" s="1">
        <f t="shared" si="4"/>
        <v>2</v>
      </c>
      <c r="P16" s="41">
        <f t="shared" si="11"/>
        <v>0</v>
      </c>
      <c r="Q16" s="41">
        <f t="shared" si="12"/>
        <v>0</v>
      </c>
      <c r="R16" s="41">
        <f t="shared" si="13"/>
        <v>0</v>
      </c>
      <c r="S16" s="1">
        <f t="shared" si="5"/>
        <v>0.9048374180359595</v>
      </c>
      <c r="T16" s="41">
        <f t="shared" si="6"/>
        <v>0</v>
      </c>
    </row>
    <row r="17" spans="2:20" ht="12.75">
      <c r="B17" s="1">
        <v>9</v>
      </c>
      <c r="C17" s="1">
        <f t="shared" si="0"/>
        <v>9</v>
      </c>
      <c r="D17" s="41">
        <f t="shared" si="7"/>
        <v>150</v>
      </c>
      <c r="E17" s="41">
        <f t="shared" si="8"/>
        <v>-321.0261545000011</v>
      </c>
      <c r="F17" s="41">
        <f t="shared" si="9"/>
        <v>-42.82055950000014</v>
      </c>
      <c r="G17" s="1">
        <f t="shared" si="1"/>
        <v>0.6446089162177973</v>
      </c>
      <c r="H17" s="41">
        <f t="shared" si="2"/>
        <v>96.69133743266958</v>
      </c>
      <c r="I17" s="41">
        <f t="shared" si="3"/>
        <v>107.17944049999986</v>
      </c>
      <c r="J17" s="41">
        <f t="shared" si="10"/>
        <v>150</v>
      </c>
      <c r="N17" s="1">
        <v>9</v>
      </c>
      <c r="O17" s="1">
        <f t="shared" si="4"/>
        <v>2.25</v>
      </c>
      <c r="P17" s="41">
        <f t="shared" si="11"/>
        <v>0</v>
      </c>
      <c r="Q17" s="41">
        <f t="shared" si="12"/>
        <v>0</v>
      </c>
      <c r="R17" s="41">
        <f t="shared" si="13"/>
        <v>0</v>
      </c>
      <c r="S17" s="1">
        <f t="shared" si="5"/>
        <v>0.8935973471085157</v>
      </c>
      <c r="T17" s="41">
        <f t="shared" si="6"/>
        <v>0</v>
      </c>
    </row>
    <row r="18" spans="2:20" ht="12.75">
      <c r="B18" s="1">
        <v>10</v>
      </c>
      <c r="C18" s="1">
        <f t="shared" si="0"/>
        <v>10</v>
      </c>
      <c r="D18" s="41">
        <f t="shared" si="7"/>
        <v>150</v>
      </c>
      <c r="E18" s="41">
        <f t="shared" si="8"/>
        <v>-203.12876995000124</v>
      </c>
      <c r="F18" s="41">
        <f t="shared" si="9"/>
        <v>-32.10261545000014</v>
      </c>
      <c r="G18" s="1">
        <f t="shared" si="1"/>
        <v>0.6139132535407593</v>
      </c>
      <c r="H18" s="41">
        <f t="shared" si="2"/>
        <v>92.0869880311139</v>
      </c>
      <c r="I18" s="41">
        <f t="shared" si="3"/>
        <v>117.89738454999986</v>
      </c>
      <c r="J18" s="41">
        <f t="shared" si="10"/>
        <v>150</v>
      </c>
      <c r="N18" s="1">
        <v>10</v>
      </c>
      <c r="O18" s="1">
        <f t="shared" si="4"/>
        <v>2.5</v>
      </c>
      <c r="P18" s="41">
        <f t="shared" si="11"/>
        <v>0</v>
      </c>
      <c r="Q18" s="41">
        <f t="shared" si="12"/>
        <v>0</v>
      </c>
      <c r="R18" s="41">
        <f t="shared" si="13"/>
        <v>0</v>
      </c>
      <c r="S18" s="1">
        <f t="shared" si="5"/>
        <v>0.8824969025845955</v>
      </c>
      <c r="T18" s="41">
        <f t="shared" si="6"/>
        <v>0</v>
      </c>
    </row>
    <row r="19" spans="2:20" ht="12.75">
      <c r="B19" s="1">
        <v>11</v>
      </c>
      <c r="C19" s="1">
        <f aca="true" t="shared" si="14" ref="C19:C24">B19*$C$6</f>
        <v>11</v>
      </c>
      <c r="D19" s="41">
        <f t="shared" si="7"/>
        <v>150</v>
      </c>
      <c r="E19" s="41">
        <f t="shared" si="8"/>
        <v>-73.44164694500138</v>
      </c>
      <c r="F19" s="41">
        <f t="shared" si="9"/>
        <v>-20.312876995000142</v>
      </c>
      <c r="G19" s="1">
        <f t="shared" si="1"/>
        <v>0.5846792890864374</v>
      </c>
      <c r="H19" s="41">
        <f t="shared" si="2"/>
        <v>87.7018933629656</v>
      </c>
      <c r="I19" s="41">
        <f t="shared" si="3"/>
        <v>129.68712300499985</v>
      </c>
      <c r="J19" s="41">
        <f t="shared" si="10"/>
        <v>150</v>
      </c>
      <c r="N19" s="1">
        <v>11</v>
      </c>
      <c r="O19" s="1">
        <f t="shared" si="4"/>
        <v>2.75</v>
      </c>
      <c r="P19" s="41">
        <f t="shared" si="11"/>
        <v>0</v>
      </c>
      <c r="Q19" s="41">
        <f t="shared" si="12"/>
        <v>0</v>
      </c>
      <c r="R19" s="41">
        <f t="shared" si="13"/>
        <v>0</v>
      </c>
      <c r="S19" s="1">
        <f t="shared" si="5"/>
        <v>0.8715343499971578</v>
      </c>
      <c r="T19" s="41">
        <f t="shared" si="6"/>
        <v>0</v>
      </c>
    </row>
    <row r="20" spans="2:20" ht="12.75">
      <c r="B20" s="1">
        <v>12</v>
      </c>
      <c r="C20" s="1">
        <f t="shared" si="14"/>
        <v>12</v>
      </c>
      <c r="D20" s="41">
        <f t="shared" si="7"/>
        <v>80.78581163950153</v>
      </c>
      <c r="E20" s="41">
        <f t="shared" si="8"/>
        <v>0</v>
      </c>
      <c r="F20" s="41">
        <f t="shared" si="9"/>
        <v>-7.344164694500145</v>
      </c>
      <c r="G20" s="1">
        <f t="shared" si="1"/>
        <v>0.5568374181775595</v>
      </c>
      <c r="H20" s="41">
        <f t="shared" si="2"/>
        <v>44.98456277871867</v>
      </c>
      <c r="I20" s="41">
        <f t="shared" si="3"/>
        <v>73.44164694500138</v>
      </c>
      <c r="J20" s="41">
        <f t="shared" si="10"/>
        <v>66.09748225050123</v>
      </c>
      <c r="N20" s="1">
        <v>12</v>
      </c>
      <c r="O20" s="1">
        <f t="shared" si="4"/>
        <v>3</v>
      </c>
      <c r="P20" s="41">
        <f t="shared" si="11"/>
        <v>0</v>
      </c>
      <c r="Q20" s="41">
        <f t="shared" si="12"/>
        <v>0</v>
      </c>
      <c r="R20" s="41">
        <f t="shared" si="13"/>
        <v>0</v>
      </c>
      <c r="S20" s="1">
        <f t="shared" si="5"/>
        <v>0.8607079764250578</v>
      </c>
      <c r="T20" s="41">
        <f t="shared" si="6"/>
        <v>0</v>
      </c>
    </row>
    <row r="21" spans="2:20" ht="12.75">
      <c r="B21" s="1">
        <v>13</v>
      </c>
      <c r="C21" s="1">
        <f t="shared" si="14"/>
        <v>13</v>
      </c>
      <c r="D21" s="41">
        <f t="shared" si="7"/>
        <v>0</v>
      </c>
      <c r="E21" s="41">
        <f t="shared" si="8"/>
        <v>0</v>
      </c>
      <c r="F21" s="41">
        <f t="shared" si="9"/>
        <v>0</v>
      </c>
      <c r="G21" s="1">
        <f t="shared" si="1"/>
        <v>0.5303213506452946</v>
      </c>
      <c r="H21" s="41">
        <f t="shared" si="2"/>
        <v>0</v>
      </c>
      <c r="I21" s="41">
        <f t="shared" si="3"/>
        <v>0</v>
      </c>
      <c r="J21" s="41">
        <f t="shared" si="10"/>
        <v>0</v>
      </c>
      <c r="N21" s="1">
        <v>13</v>
      </c>
      <c r="O21" s="1">
        <f t="shared" si="4"/>
        <v>3.25</v>
      </c>
      <c r="P21" s="41">
        <f t="shared" si="11"/>
        <v>0</v>
      </c>
      <c r="Q21" s="41">
        <f t="shared" si="12"/>
        <v>0</v>
      </c>
      <c r="R21" s="41">
        <f t="shared" si="13"/>
        <v>0</v>
      </c>
      <c r="S21" s="1">
        <f t="shared" si="5"/>
        <v>0.8500160902253981</v>
      </c>
      <c r="T21" s="41">
        <f t="shared" si="6"/>
        <v>0</v>
      </c>
    </row>
    <row r="22" spans="2:20" ht="12.75">
      <c r="B22" s="1">
        <v>14</v>
      </c>
      <c r="C22" s="1">
        <f t="shared" si="14"/>
        <v>14</v>
      </c>
      <c r="D22" s="41">
        <f t="shared" si="7"/>
        <v>0</v>
      </c>
      <c r="E22" s="41">
        <f t="shared" si="8"/>
        <v>0</v>
      </c>
      <c r="F22" s="41">
        <f t="shared" si="9"/>
        <v>0</v>
      </c>
      <c r="G22" s="1">
        <f t="shared" si="1"/>
        <v>0.5050679529955189</v>
      </c>
      <c r="H22" s="41">
        <f t="shared" si="2"/>
        <v>0</v>
      </c>
      <c r="I22" s="41">
        <f t="shared" si="3"/>
        <v>0</v>
      </c>
      <c r="J22" s="41">
        <f t="shared" si="10"/>
        <v>0</v>
      </c>
      <c r="N22" s="1">
        <v>14</v>
      </c>
      <c r="O22" s="1">
        <f t="shared" si="4"/>
        <v>3.5</v>
      </c>
      <c r="P22" s="41">
        <f t="shared" si="11"/>
        <v>0</v>
      </c>
      <c r="Q22" s="41">
        <f t="shared" si="12"/>
        <v>0</v>
      </c>
      <c r="R22" s="41">
        <f t="shared" si="13"/>
        <v>0</v>
      </c>
      <c r="S22" s="1">
        <f t="shared" si="5"/>
        <v>0.8394570207692074</v>
      </c>
      <c r="T22" s="41">
        <f t="shared" si="6"/>
        <v>0</v>
      </c>
    </row>
    <row r="23" spans="2:20" ht="12.75">
      <c r="B23" s="1">
        <v>15</v>
      </c>
      <c r="C23" s="1">
        <f t="shared" si="14"/>
        <v>15</v>
      </c>
      <c r="D23" s="41">
        <f t="shared" si="7"/>
        <v>0</v>
      </c>
      <c r="E23" s="41">
        <f t="shared" si="8"/>
        <v>0</v>
      </c>
      <c r="F23" s="41">
        <f t="shared" si="9"/>
        <v>0</v>
      </c>
      <c r="G23" s="1">
        <f t="shared" si="1"/>
        <v>0.4810170980909702</v>
      </c>
      <c r="H23" s="41">
        <f t="shared" si="2"/>
        <v>0</v>
      </c>
      <c r="I23" s="41">
        <f t="shared" si="3"/>
        <v>0</v>
      </c>
      <c r="J23" s="41">
        <f t="shared" si="10"/>
        <v>0</v>
      </c>
      <c r="N23" s="1">
        <v>15</v>
      </c>
      <c r="O23" s="1">
        <f t="shared" si="4"/>
        <v>3.75</v>
      </c>
      <c r="P23" s="41">
        <f t="shared" si="11"/>
        <v>0</v>
      </c>
      <c r="Q23" s="41">
        <f t="shared" si="12"/>
        <v>0</v>
      </c>
      <c r="R23" s="41">
        <f t="shared" si="13"/>
        <v>0</v>
      </c>
      <c r="S23" s="1">
        <f t="shared" si="5"/>
        <v>0.8290291181804004</v>
      </c>
      <c r="T23" s="41">
        <f t="shared" si="6"/>
        <v>0</v>
      </c>
    </row>
    <row r="24" spans="2:20" ht="12.75">
      <c r="B24" s="1">
        <v>16</v>
      </c>
      <c r="C24" s="1">
        <f t="shared" si="14"/>
        <v>16</v>
      </c>
      <c r="D24" s="41">
        <f t="shared" si="7"/>
        <v>0</v>
      </c>
      <c r="E24" s="41">
        <f t="shared" si="8"/>
        <v>0</v>
      </c>
      <c r="F24" s="41">
        <f t="shared" si="9"/>
        <v>0</v>
      </c>
      <c r="G24" s="1">
        <f t="shared" si="1"/>
        <v>0.4581115219914002</v>
      </c>
      <c r="H24" s="41">
        <f t="shared" si="2"/>
        <v>0</v>
      </c>
      <c r="I24" s="41">
        <f t="shared" si="3"/>
        <v>0</v>
      </c>
      <c r="J24" s="41">
        <f t="shared" si="10"/>
        <v>0</v>
      </c>
      <c r="N24" s="1">
        <v>16</v>
      </c>
      <c r="O24" s="1">
        <f t="shared" si="4"/>
        <v>4</v>
      </c>
      <c r="P24" s="41">
        <f t="shared" si="11"/>
        <v>0</v>
      </c>
      <c r="Q24" s="41">
        <f t="shared" si="12"/>
        <v>0</v>
      </c>
      <c r="R24" s="41">
        <f t="shared" si="13"/>
        <v>0</v>
      </c>
      <c r="S24" s="1">
        <f t="shared" si="5"/>
        <v>0.8187307530779818</v>
      </c>
      <c r="T24" s="41">
        <f t="shared" si="6"/>
        <v>0</v>
      </c>
    </row>
    <row r="25" spans="2:20" ht="12.75">
      <c r="B25" s="1">
        <v>17</v>
      </c>
      <c r="C25" s="1">
        <f>B25*$C$6</f>
        <v>17</v>
      </c>
      <c r="D25" s="41">
        <f t="shared" si="7"/>
        <v>0</v>
      </c>
      <c r="E25" s="41">
        <f t="shared" si="8"/>
        <v>0</v>
      </c>
      <c r="F25" s="41">
        <f t="shared" si="9"/>
        <v>0</v>
      </c>
      <c r="G25" s="1">
        <f t="shared" si="1"/>
        <v>0.43629668761085727</v>
      </c>
      <c r="H25" s="41">
        <f t="shared" si="2"/>
        <v>0</v>
      </c>
      <c r="I25" s="41">
        <f t="shared" si="3"/>
        <v>0</v>
      </c>
      <c r="J25" s="41">
        <f t="shared" si="10"/>
        <v>0</v>
      </c>
      <c r="N25" s="1">
        <v>17</v>
      </c>
      <c r="O25" s="1">
        <f t="shared" si="4"/>
        <v>4.25</v>
      </c>
      <c r="P25" s="41">
        <f t="shared" si="11"/>
        <v>0</v>
      </c>
      <c r="Q25" s="41">
        <f t="shared" si="12"/>
        <v>0</v>
      </c>
      <c r="R25" s="41">
        <f t="shared" si="13"/>
        <v>0</v>
      </c>
      <c r="S25" s="1">
        <f t="shared" si="5"/>
        <v>0.8085603163214524</v>
      </c>
      <c r="T25" s="41">
        <f t="shared" si="6"/>
        <v>0</v>
      </c>
    </row>
    <row r="26" spans="2:20" ht="12.75">
      <c r="B26" s="1">
        <v>18</v>
      </c>
      <c r="C26" s="1">
        <f>B26*$C$6</f>
        <v>18</v>
      </c>
      <c r="D26" s="41">
        <f t="shared" si="7"/>
        <v>0</v>
      </c>
      <c r="E26" s="41">
        <f t="shared" si="8"/>
        <v>0</v>
      </c>
      <c r="F26" s="41">
        <f t="shared" si="9"/>
        <v>0</v>
      </c>
      <c r="G26" s="1">
        <f t="shared" si="1"/>
        <v>0.41552065486748313</v>
      </c>
      <c r="H26" s="41">
        <f t="shared" si="2"/>
        <v>0</v>
      </c>
      <c r="I26" s="41">
        <f t="shared" si="3"/>
        <v>0</v>
      </c>
      <c r="J26" s="41">
        <f t="shared" si="10"/>
        <v>0</v>
      </c>
      <c r="N26" s="1">
        <v>18</v>
      </c>
      <c r="O26" s="1">
        <f t="shared" si="4"/>
        <v>4.5</v>
      </c>
      <c r="P26" s="41">
        <f t="shared" si="11"/>
        <v>0</v>
      </c>
      <c r="Q26" s="41">
        <f t="shared" si="12"/>
        <v>0</v>
      </c>
      <c r="R26" s="41">
        <f t="shared" si="13"/>
        <v>0</v>
      </c>
      <c r="S26" s="1">
        <f t="shared" si="5"/>
        <v>0.7985162187593771</v>
      </c>
      <c r="T26" s="41">
        <f t="shared" si="6"/>
        <v>0</v>
      </c>
    </row>
    <row r="27" spans="2:20" ht="12.75">
      <c r="B27" s="1">
        <v>19</v>
      </c>
      <c r="C27" s="1">
        <f>B27*$C$6</f>
        <v>19</v>
      </c>
      <c r="D27" s="41">
        <f t="shared" si="7"/>
        <v>0</v>
      </c>
      <c r="E27" s="41">
        <f t="shared" si="8"/>
        <v>0</v>
      </c>
      <c r="F27" s="41">
        <f t="shared" si="9"/>
        <v>0</v>
      </c>
      <c r="G27" s="1">
        <f t="shared" si="1"/>
        <v>0.3957339570166506</v>
      </c>
      <c r="H27" s="41">
        <f t="shared" si="2"/>
        <v>0</v>
      </c>
      <c r="I27" s="41">
        <f t="shared" si="3"/>
        <v>0</v>
      </c>
      <c r="J27" s="41">
        <f t="shared" si="10"/>
        <v>0</v>
      </c>
      <c r="N27" s="1">
        <v>19</v>
      </c>
      <c r="O27" s="1">
        <f t="shared" si="4"/>
        <v>4.75</v>
      </c>
      <c r="P27" s="41">
        <f t="shared" si="11"/>
        <v>0</v>
      </c>
      <c r="Q27" s="41">
        <f t="shared" si="12"/>
        <v>0</v>
      </c>
      <c r="R27" s="41">
        <f t="shared" si="13"/>
        <v>0</v>
      </c>
      <c r="S27" s="1">
        <f t="shared" si="5"/>
        <v>0.7885968909810767</v>
      </c>
      <c r="T27" s="41">
        <f t="shared" si="6"/>
        <v>0</v>
      </c>
    </row>
    <row r="28" spans="2:20" ht="12.75">
      <c r="B28" s="1">
        <v>20</v>
      </c>
      <c r="C28" s="1">
        <f>B28*$C$6</f>
        <v>20</v>
      </c>
      <c r="D28" s="41">
        <f t="shared" si="7"/>
        <v>0</v>
      </c>
      <c r="E28" s="41">
        <f t="shared" si="8"/>
        <v>0</v>
      </c>
      <c r="F28" s="41">
        <f t="shared" si="9"/>
        <v>0</v>
      </c>
      <c r="G28" s="1">
        <f t="shared" si="1"/>
        <v>0.3768894828730006</v>
      </c>
      <c r="H28" s="41">
        <f t="shared" si="2"/>
        <v>0</v>
      </c>
      <c r="I28" s="41">
        <f t="shared" si="3"/>
        <v>0</v>
      </c>
      <c r="J28" s="41">
        <f t="shared" si="10"/>
        <v>0</v>
      </c>
      <c r="N28" s="1">
        <v>20</v>
      </c>
      <c r="O28" s="1">
        <f t="shared" si="4"/>
        <v>5</v>
      </c>
      <c r="P28" s="41">
        <f t="shared" si="11"/>
        <v>0</v>
      </c>
      <c r="Q28" s="41">
        <f t="shared" si="12"/>
        <v>0</v>
      </c>
      <c r="R28" s="41">
        <f t="shared" si="13"/>
        <v>0</v>
      </c>
      <c r="S28" s="1">
        <f t="shared" si="5"/>
        <v>0.7788007830714049</v>
      </c>
      <c r="T28" s="41">
        <f t="shared" si="6"/>
        <v>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/>
  <dimension ref="A1:Q27"/>
  <sheetViews>
    <sheetView workbookViewId="0" topLeftCell="A1">
      <selection activeCell="A4" sqref="A4"/>
    </sheetView>
  </sheetViews>
  <sheetFormatPr defaultColWidth="11.421875" defaultRowHeight="12.75"/>
  <sheetData>
    <row r="1" spans="1:17" ht="12.75">
      <c r="A1" s="107" t="s">
        <v>189</v>
      </c>
      <c r="B1" s="68"/>
      <c r="C1" s="68"/>
      <c r="D1" s="68"/>
      <c r="E1" s="68"/>
      <c r="F1" s="109" t="s">
        <v>183</v>
      </c>
      <c r="G1" s="93"/>
      <c r="H1" s="60"/>
      <c r="I1" s="109" t="s">
        <v>186</v>
      </c>
      <c r="J1" s="93"/>
      <c r="K1" s="60"/>
      <c r="L1" s="1" t="s">
        <v>190</v>
      </c>
      <c r="M1" s="1"/>
      <c r="N1" s="60"/>
      <c r="O1" s="109" t="s">
        <v>194</v>
      </c>
      <c r="P1" s="93"/>
      <c r="Q1" s="60"/>
    </row>
    <row r="2" spans="1:17" ht="12.75">
      <c r="A2" s="108" t="s">
        <v>188</v>
      </c>
      <c r="B2" s="56"/>
      <c r="C2" s="81" t="s">
        <v>228</v>
      </c>
      <c r="D2" s="112" t="s">
        <v>179</v>
      </c>
      <c r="E2" s="82" t="s">
        <v>229</v>
      </c>
      <c r="F2" s="110" t="s">
        <v>247</v>
      </c>
      <c r="G2" s="10"/>
      <c r="H2" s="62" t="s">
        <v>181</v>
      </c>
      <c r="I2" s="110" t="s">
        <v>248</v>
      </c>
      <c r="J2" s="10"/>
      <c r="K2" s="62" t="s">
        <v>110</v>
      </c>
      <c r="L2" s="10" t="s">
        <v>191</v>
      </c>
      <c r="M2" s="1"/>
      <c r="N2" s="62" t="s">
        <v>192</v>
      </c>
      <c r="O2" s="110" t="s">
        <v>249</v>
      </c>
      <c r="P2" s="10"/>
      <c r="Q2" s="62" t="s">
        <v>195</v>
      </c>
    </row>
    <row r="3" spans="1:17" ht="12.75">
      <c r="A3" s="69" t="s">
        <v>263</v>
      </c>
      <c r="B3" s="56"/>
      <c r="C3" s="143">
        <v>1000</v>
      </c>
      <c r="D3" s="47">
        <v>0.07</v>
      </c>
      <c r="E3" s="144">
        <v>50</v>
      </c>
      <c r="F3" s="111" t="s">
        <v>187</v>
      </c>
      <c r="G3" s="94"/>
      <c r="H3" s="113">
        <v>0.02908789960681609</v>
      </c>
      <c r="I3" s="111" t="s">
        <v>187</v>
      </c>
      <c r="J3" s="94"/>
      <c r="K3" s="113">
        <v>0.077363090392619</v>
      </c>
      <c r="L3" s="1" t="s">
        <v>193</v>
      </c>
      <c r="M3" s="1"/>
      <c r="N3" s="104">
        <v>0.04251596599707143</v>
      </c>
      <c r="O3" s="111" t="s">
        <v>197</v>
      </c>
      <c r="P3" s="94"/>
      <c r="Q3" s="113">
        <v>0.048496892991831096</v>
      </c>
    </row>
    <row r="4" spans="1:17" ht="12.75">
      <c r="A4" s="61" t="s">
        <v>214</v>
      </c>
      <c r="B4" s="13" t="s">
        <v>103</v>
      </c>
      <c r="C4" s="63" t="s">
        <v>180</v>
      </c>
      <c r="D4" s="64" t="s">
        <v>6</v>
      </c>
      <c r="E4" s="65" t="s">
        <v>61</v>
      </c>
      <c r="F4" s="140" t="s">
        <v>184</v>
      </c>
      <c r="G4" s="141" t="s">
        <v>182</v>
      </c>
      <c r="H4" s="142" t="s">
        <v>185</v>
      </c>
      <c r="I4" s="140" t="s">
        <v>184</v>
      </c>
      <c r="J4" s="141" t="s">
        <v>182</v>
      </c>
      <c r="K4" s="142" t="s">
        <v>185</v>
      </c>
      <c r="L4" s="140" t="s">
        <v>180</v>
      </c>
      <c r="M4" s="141" t="s">
        <v>6</v>
      </c>
      <c r="N4" s="142" t="s">
        <v>61</v>
      </c>
      <c r="O4" s="13" t="s">
        <v>184</v>
      </c>
      <c r="P4" s="13" t="s">
        <v>182</v>
      </c>
      <c r="Q4" s="62" t="s">
        <v>185</v>
      </c>
    </row>
    <row r="5" spans="1:17" ht="12.75">
      <c r="A5" s="69">
        <v>0</v>
      </c>
      <c r="B5" s="48">
        <v>0.03</v>
      </c>
      <c r="C5" s="95">
        <f>(1+$B5)^(-$A5)</f>
        <v>1</v>
      </c>
      <c r="D5" s="130">
        <f>-$C$3+$E$3</f>
        <v>-950</v>
      </c>
      <c r="E5" s="93">
        <f>D5*C5</f>
        <v>-950</v>
      </c>
      <c r="F5" s="95">
        <f aca="true" t="shared" si="0" ref="F5:F15">B5+$H$3</f>
        <v>0.05908789960681609</v>
      </c>
      <c r="G5" s="96">
        <f>(1+F5)^(-$A5)</f>
        <v>1</v>
      </c>
      <c r="H5" s="97">
        <f>$D5*G5</f>
        <v>-950</v>
      </c>
      <c r="I5" s="96">
        <f>$K$3</f>
        <v>0.077363090392619</v>
      </c>
      <c r="J5" s="96">
        <f>(1+I5)^(-$A5)</f>
        <v>1</v>
      </c>
      <c r="K5" s="97">
        <f>$D5*J5</f>
        <v>-950</v>
      </c>
      <c r="L5" s="95">
        <f>(1+$B5)^(-$A5)</f>
        <v>1</v>
      </c>
      <c r="M5" s="131">
        <f>-$C$3+$E$3</f>
        <v>-950</v>
      </c>
      <c r="N5" s="97">
        <f>M5*L5</f>
        <v>-950</v>
      </c>
      <c r="O5" s="96">
        <f>Q$3</f>
        <v>0.048496892991831096</v>
      </c>
      <c r="P5" s="96">
        <f>(1+O5)^(-$A5)</f>
        <v>1</v>
      </c>
      <c r="Q5" s="97">
        <f>$D5*P5</f>
        <v>-950</v>
      </c>
    </row>
    <row r="6" spans="1:17" ht="12.75">
      <c r="A6" s="69">
        <v>1</v>
      </c>
      <c r="B6" s="48">
        <v>0.03</v>
      </c>
      <c r="C6" s="98">
        <f>(1+$B6)^(-$A6)</f>
        <v>0.970873786407767</v>
      </c>
      <c r="D6" s="10">
        <f>$D$3*$C$3</f>
        <v>70</v>
      </c>
      <c r="E6" s="10">
        <f aca="true" t="shared" si="1" ref="E6:E15">D6*C6</f>
        <v>67.96116504854369</v>
      </c>
      <c r="F6" s="98">
        <f t="shared" si="0"/>
        <v>0.05908789960681609</v>
      </c>
      <c r="G6" s="99">
        <f aca="true" t="shared" si="2" ref="G6:G15">(1+F6)^(-$A6)</f>
        <v>0.9442086916215809</v>
      </c>
      <c r="H6" s="100">
        <f aca="true" t="shared" si="3" ref="H6:H15">$D6*G6</f>
        <v>66.09460841351067</v>
      </c>
      <c r="I6" s="99">
        <f aca="true" t="shared" si="4" ref="I6:I15">$K$3</f>
        <v>0.077363090392619</v>
      </c>
      <c r="J6" s="99">
        <f aca="true" t="shared" si="5" ref="J6:J15">(1+I6)^(-$A6)</f>
        <v>0.9281921841554588</v>
      </c>
      <c r="K6" s="100">
        <f aca="true" t="shared" si="6" ref="K6:K15">$D6*J6</f>
        <v>64.97345289088211</v>
      </c>
      <c r="L6" s="98">
        <f>(1+$B6)^(-$A6)</f>
        <v>0.970873786407767</v>
      </c>
      <c r="M6" s="114">
        <f>N$3*$C$3</f>
        <v>42.515965997071426</v>
      </c>
      <c r="N6" s="100">
        <f aca="true" t="shared" si="7" ref="N6:N15">M6*L6</f>
        <v>41.27763689036061</v>
      </c>
      <c r="O6" s="99">
        <f>Q$3</f>
        <v>0.048496892991831096</v>
      </c>
      <c r="P6" s="99">
        <f aca="true" t="shared" si="8" ref="P6:P15">(1+O6)^(-$A6)</f>
        <v>0.9537462692393416</v>
      </c>
      <c r="Q6" s="100">
        <f aca="true" t="shared" si="9" ref="Q6:Q15">$D6*P6</f>
        <v>66.76223884675392</v>
      </c>
    </row>
    <row r="7" spans="1:17" ht="12.75">
      <c r="A7" s="69">
        <v>2</v>
      </c>
      <c r="B7" s="48">
        <v>0.035</v>
      </c>
      <c r="C7" s="98">
        <f aca="true" t="shared" si="10" ref="C7:C14">(1+$B7)^(-$A7)</f>
        <v>0.933510700366403</v>
      </c>
      <c r="D7" s="10">
        <f aca="true" t="shared" si="11" ref="D7:D14">$D$3*$C$3</f>
        <v>70</v>
      </c>
      <c r="E7" s="10">
        <f t="shared" si="1"/>
        <v>65.34574902564822</v>
      </c>
      <c r="F7" s="98">
        <f t="shared" si="0"/>
        <v>0.0640878996068161</v>
      </c>
      <c r="G7" s="99">
        <f t="shared" si="2"/>
        <v>0.8831713879806435</v>
      </c>
      <c r="H7" s="100">
        <f t="shared" si="3"/>
        <v>61.82199715864505</v>
      </c>
      <c r="I7" s="99">
        <f t="shared" si="4"/>
        <v>0.077363090392619</v>
      </c>
      <c r="J7" s="99">
        <f t="shared" si="5"/>
        <v>0.8615407307272811</v>
      </c>
      <c r="K7" s="100">
        <f t="shared" si="6"/>
        <v>60.30785115090968</v>
      </c>
      <c r="L7" s="98">
        <f aca="true" t="shared" si="12" ref="L7:L14">(1+$B7)^(-$A7)</f>
        <v>0.933510700366403</v>
      </c>
      <c r="M7" s="114">
        <f aca="true" t="shared" si="13" ref="M7:M14">N$3*$C$3</f>
        <v>42.515965997071426</v>
      </c>
      <c r="N7" s="100">
        <f t="shared" si="7"/>
        <v>39.68910919468033</v>
      </c>
      <c r="O7" s="99">
        <f aca="true" t="shared" si="14" ref="O7:O14">Q$3</f>
        <v>0.048496892991831096</v>
      </c>
      <c r="P7" s="99">
        <f t="shared" si="8"/>
        <v>0.9096319460879627</v>
      </c>
      <c r="Q7" s="100">
        <f t="shared" si="9"/>
        <v>63.67423622615739</v>
      </c>
    </row>
    <row r="8" spans="1:17" ht="12.75">
      <c r="A8" s="69">
        <v>3</v>
      </c>
      <c r="B8" s="48">
        <v>0.035</v>
      </c>
      <c r="C8" s="98">
        <f t="shared" si="10"/>
        <v>0.9019427056680224</v>
      </c>
      <c r="D8" s="10">
        <f t="shared" si="11"/>
        <v>70</v>
      </c>
      <c r="E8" s="10">
        <f t="shared" si="1"/>
        <v>63.135989396761566</v>
      </c>
      <c r="F8" s="98">
        <f t="shared" si="0"/>
        <v>0.0640878996068161</v>
      </c>
      <c r="G8" s="99">
        <f t="shared" si="2"/>
        <v>0.8299797303465043</v>
      </c>
      <c r="H8" s="100">
        <f t="shared" si="3"/>
        <v>58.098581124255304</v>
      </c>
      <c r="I8" s="99">
        <f t="shared" si="4"/>
        <v>0.077363090392619</v>
      </c>
      <c r="J8" s="99">
        <f t="shared" si="5"/>
        <v>0.7996753725926451</v>
      </c>
      <c r="K8" s="100">
        <f t="shared" si="6"/>
        <v>55.97727608148516</v>
      </c>
      <c r="L8" s="98">
        <f t="shared" si="12"/>
        <v>0.9019427056680224</v>
      </c>
      <c r="M8" s="114">
        <f t="shared" si="13"/>
        <v>42.515965997071426</v>
      </c>
      <c r="N8" s="100">
        <f t="shared" si="7"/>
        <v>38.34696540548824</v>
      </c>
      <c r="O8" s="99">
        <f t="shared" si="14"/>
        <v>0.048496892991831096</v>
      </c>
      <c r="P8" s="99">
        <f t="shared" si="8"/>
        <v>0.8675580749623163</v>
      </c>
      <c r="Q8" s="100">
        <f t="shared" si="9"/>
        <v>60.72906524736214</v>
      </c>
    </row>
    <row r="9" spans="1:17" ht="12.75">
      <c r="A9" s="69">
        <v>4</v>
      </c>
      <c r="B9" s="48">
        <v>0.038</v>
      </c>
      <c r="C9" s="98">
        <f t="shared" si="10"/>
        <v>0.861411342462129</v>
      </c>
      <c r="D9" s="10">
        <f t="shared" si="11"/>
        <v>70</v>
      </c>
      <c r="E9" s="10">
        <f t="shared" si="1"/>
        <v>60.29879397234903</v>
      </c>
      <c r="F9" s="98">
        <f t="shared" si="0"/>
        <v>0.06708789960681609</v>
      </c>
      <c r="G9" s="99">
        <f t="shared" si="2"/>
        <v>0.7712571784473435</v>
      </c>
      <c r="H9" s="100">
        <f t="shared" si="3"/>
        <v>53.98800249131405</v>
      </c>
      <c r="I9" s="99">
        <f t="shared" si="4"/>
        <v>0.077363090392619</v>
      </c>
      <c r="J9" s="99">
        <f t="shared" si="5"/>
        <v>0.7422524307020976</v>
      </c>
      <c r="K9" s="100">
        <f t="shared" si="6"/>
        <v>51.95767014914683</v>
      </c>
      <c r="L9" s="98">
        <f t="shared" si="12"/>
        <v>0.861411342462129</v>
      </c>
      <c r="M9" s="114">
        <f t="shared" si="13"/>
        <v>42.515965997071426</v>
      </c>
      <c r="N9" s="100">
        <f t="shared" si="7"/>
        <v>36.62373534561153</v>
      </c>
      <c r="O9" s="99">
        <f t="shared" si="14"/>
        <v>0.048496892991831096</v>
      </c>
      <c r="P9" s="99">
        <f t="shared" si="8"/>
        <v>0.8274302773437743</v>
      </c>
      <c r="Q9" s="100">
        <f t="shared" si="9"/>
        <v>57.9201194140642</v>
      </c>
    </row>
    <row r="10" spans="1:17" ht="12.75">
      <c r="A10" s="69">
        <v>5</v>
      </c>
      <c r="B10" s="48">
        <v>0.043</v>
      </c>
      <c r="C10" s="98">
        <f t="shared" si="10"/>
        <v>0.8101742912390197</v>
      </c>
      <c r="D10" s="10">
        <f t="shared" si="11"/>
        <v>70</v>
      </c>
      <c r="E10" s="10">
        <f t="shared" si="1"/>
        <v>56.71220038673138</v>
      </c>
      <c r="F10" s="98">
        <f t="shared" si="0"/>
        <v>0.07208789960681608</v>
      </c>
      <c r="G10" s="99">
        <f t="shared" si="2"/>
        <v>0.7060704379875353</v>
      </c>
      <c r="H10" s="100">
        <f t="shared" si="3"/>
        <v>49.424930659127476</v>
      </c>
      <c r="I10" s="99">
        <f t="shared" si="4"/>
        <v>0.077363090392619</v>
      </c>
      <c r="J10" s="99">
        <f t="shared" si="5"/>
        <v>0.6889529048480783</v>
      </c>
      <c r="K10" s="100">
        <f t="shared" si="6"/>
        <v>48.22670333936548</v>
      </c>
      <c r="L10" s="98">
        <f t="shared" si="12"/>
        <v>0.8101742912390197</v>
      </c>
      <c r="M10" s="114">
        <f t="shared" si="13"/>
        <v>42.515965997071426</v>
      </c>
      <c r="N10" s="100">
        <f t="shared" si="7"/>
        <v>34.44534261801961</v>
      </c>
      <c r="O10" s="99">
        <f t="shared" si="14"/>
        <v>0.048496892991831096</v>
      </c>
      <c r="P10" s="99">
        <f t="shared" si="8"/>
        <v>0.7891585400722984</v>
      </c>
      <c r="Q10" s="100">
        <f t="shared" si="9"/>
        <v>55.24109780506088</v>
      </c>
    </row>
    <row r="11" spans="1:17" ht="12.75">
      <c r="A11" s="69">
        <v>6</v>
      </c>
      <c r="B11" s="48">
        <v>0.046</v>
      </c>
      <c r="C11" s="98">
        <f t="shared" si="10"/>
        <v>0.7635014968180696</v>
      </c>
      <c r="D11" s="10">
        <f t="shared" si="11"/>
        <v>70</v>
      </c>
      <c r="E11" s="10">
        <f t="shared" si="1"/>
        <v>53.445104777264866</v>
      </c>
      <c r="F11" s="98">
        <f t="shared" si="0"/>
        <v>0.07508789960681608</v>
      </c>
      <c r="G11" s="99">
        <f t="shared" si="2"/>
        <v>0.6476437179083273</v>
      </c>
      <c r="H11" s="100">
        <f t="shared" si="3"/>
        <v>45.33506025358291</v>
      </c>
      <c r="I11" s="99">
        <f t="shared" si="4"/>
        <v>0.077363090392619</v>
      </c>
      <c r="J11" s="99">
        <f t="shared" si="5"/>
        <v>0.6394807015311857</v>
      </c>
      <c r="K11" s="100">
        <f t="shared" si="6"/>
        <v>44.763649107183</v>
      </c>
      <c r="L11" s="98">
        <f t="shared" si="12"/>
        <v>0.7635014968180696</v>
      </c>
      <c r="M11" s="114">
        <f t="shared" si="13"/>
        <v>42.515965997071426</v>
      </c>
      <c r="N11" s="100">
        <f t="shared" si="7"/>
        <v>32.461003677430185</v>
      </c>
      <c r="O11" s="99">
        <f t="shared" si="14"/>
        <v>0.048496892991831096</v>
      </c>
      <c r="P11" s="99">
        <f t="shared" si="8"/>
        <v>0.75265701343232</v>
      </c>
      <c r="Q11" s="100">
        <f t="shared" si="9"/>
        <v>52.68599094026241</v>
      </c>
    </row>
    <row r="12" spans="1:17" ht="12.75">
      <c r="A12" s="69">
        <v>7</v>
      </c>
      <c r="B12" s="48">
        <v>0.048</v>
      </c>
      <c r="C12" s="98">
        <f t="shared" si="10"/>
        <v>0.7202296919196318</v>
      </c>
      <c r="D12" s="10">
        <f t="shared" si="11"/>
        <v>70</v>
      </c>
      <c r="E12" s="10">
        <f t="shared" si="1"/>
        <v>50.41607843437423</v>
      </c>
      <c r="F12" s="98">
        <f t="shared" si="0"/>
        <v>0.07708789960681608</v>
      </c>
      <c r="G12" s="99">
        <f t="shared" si="2"/>
        <v>0.5946233669750646</v>
      </c>
      <c r="H12" s="100">
        <f t="shared" si="3"/>
        <v>41.62363568825452</v>
      </c>
      <c r="I12" s="99">
        <f t="shared" si="4"/>
        <v>0.077363090392619</v>
      </c>
      <c r="J12" s="99">
        <f t="shared" si="5"/>
        <v>0.5935609890794964</v>
      </c>
      <c r="K12" s="100">
        <f t="shared" si="6"/>
        <v>41.54926923556475</v>
      </c>
      <c r="L12" s="98">
        <f t="shared" si="12"/>
        <v>0.7202296919196318</v>
      </c>
      <c r="M12" s="114">
        <f t="shared" si="13"/>
        <v>42.515965997071426</v>
      </c>
      <c r="N12" s="100">
        <f t="shared" si="7"/>
        <v>30.621261091736294</v>
      </c>
      <c r="O12" s="99">
        <f t="shared" si="14"/>
        <v>0.048496892991831096</v>
      </c>
      <c r="P12" s="99">
        <f t="shared" si="8"/>
        <v>0.7178438185779003</v>
      </c>
      <c r="Q12" s="100">
        <f t="shared" si="9"/>
        <v>50.24906730045302</v>
      </c>
    </row>
    <row r="13" spans="1:17" ht="12.75">
      <c r="A13" s="69">
        <v>8</v>
      </c>
      <c r="B13" s="48">
        <v>0.049</v>
      </c>
      <c r="C13" s="98">
        <f t="shared" si="10"/>
        <v>0.682018404581249</v>
      </c>
      <c r="D13" s="10">
        <f t="shared" si="11"/>
        <v>70</v>
      </c>
      <c r="E13" s="10">
        <f>D13*C13</f>
        <v>47.741288320687424</v>
      </c>
      <c r="F13" s="98">
        <f t="shared" si="0"/>
        <v>0.07808789960681609</v>
      </c>
      <c r="G13" s="99">
        <f t="shared" si="2"/>
        <v>0.5479824218346324</v>
      </c>
      <c r="H13" s="100">
        <f t="shared" si="3"/>
        <v>38.35876952842427</v>
      </c>
      <c r="I13" s="99">
        <f t="shared" si="4"/>
        <v>0.077363090392619</v>
      </c>
      <c r="J13" s="99">
        <f t="shared" si="5"/>
        <v>0.550938670883172</v>
      </c>
      <c r="K13" s="100">
        <f t="shared" si="6"/>
        <v>38.565706961822045</v>
      </c>
      <c r="L13" s="98">
        <f t="shared" si="12"/>
        <v>0.682018404581249</v>
      </c>
      <c r="M13" s="114">
        <f t="shared" si="13"/>
        <v>42.515965997071426</v>
      </c>
      <c r="N13" s="100">
        <f t="shared" si="7"/>
        <v>28.996671298553284</v>
      </c>
      <c r="O13" s="99">
        <f t="shared" si="14"/>
        <v>0.048496892991831096</v>
      </c>
      <c r="P13" s="99">
        <f t="shared" si="8"/>
        <v>0.6846408638651952</v>
      </c>
      <c r="Q13" s="100">
        <f t="shared" si="9"/>
        <v>47.924860470563665</v>
      </c>
    </row>
    <row r="14" spans="1:17" ht="12.75">
      <c r="A14" s="69">
        <v>9</v>
      </c>
      <c r="B14" s="48">
        <v>0.0495</v>
      </c>
      <c r="C14" s="98">
        <f t="shared" si="10"/>
        <v>0.647378115001931</v>
      </c>
      <c r="D14" s="10">
        <f t="shared" si="11"/>
        <v>70</v>
      </c>
      <c r="E14" s="10">
        <f>D14*C14</f>
        <v>45.31646805013517</v>
      </c>
      <c r="F14" s="98">
        <f t="shared" si="0"/>
        <v>0.07858789960681609</v>
      </c>
      <c r="G14" s="99">
        <f t="shared" si="2"/>
        <v>0.5061743179072065</v>
      </c>
      <c r="H14" s="100">
        <f t="shared" si="3"/>
        <v>35.43220225350445</v>
      </c>
      <c r="I14" s="99">
        <f t="shared" si="4"/>
        <v>0.077363090392619</v>
      </c>
      <c r="J14" s="99">
        <f t="shared" si="5"/>
        <v>0.5113769682627569</v>
      </c>
      <c r="K14" s="100">
        <f t="shared" si="6"/>
        <v>35.79638777839298</v>
      </c>
      <c r="L14" s="98">
        <f t="shared" si="12"/>
        <v>0.647378115001931</v>
      </c>
      <c r="M14" s="114">
        <f t="shared" si="13"/>
        <v>42.515965997071426</v>
      </c>
      <c r="N14" s="100">
        <f t="shared" si="7"/>
        <v>27.52390592467029</v>
      </c>
      <c r="O14" s="99">
        <f t="shared" si="14"/>
        <v>0.048496892991831096</v>
      </c>
      <c r="P14" s="99">
        <f t="shared" si="8"/>
        <v>0.6529736696802299</v>
      </c>
      <c r="Q14" s="100">
        <f t="shared" si="9"/>
        <v>45.70815687761609</v>
      </c>
    </row>
    <row r="15" spans="1:17" ht="12.75">
      <c r="A15" s="69">
        <v>10</v>
      </c>
      <c r="B15" s="48">
        <v>0.05</v>
      </c>
      <c r="C15" s="101">
        <f>(1+$B15)^(-$A15)</f>
        <v>0.6139132535407593</v>
      </c>
      <c r="D15" s="94">
        <f>(1+$D$3)*$C$3</f>
        <v>1070</v>
      </c>
      <c r="E15" s="94">
        <f t="shared" si="1"/>
        <v>656.8871812886125</v>
      </c>
      <c r="F15" s="101">
        <f t="shared" si="0"/>
        <v>0.07908789960681609</v>
      </c>
      <c r="G15" s="102">
        <f t="shared" si="2"/>
        <v>0.46712356221594886</v>
      </c>
      <c r="H15" s="103">
        <f t="shared" si="3"/>
        <v>499.8222115710653</v>
      </c>
      <c r="I15" s="102">
        <f t="shared" si="4"/>
        <v>0.077363090392619</v>
      </c>
      <c r="J15" s="102">
        <f t="shared" si="5"/>
        <v>0.4746561050986052</v>
      </c>
      <c r="K15" s="103">
        <f t="shared" si="6"/>
        <v>507.88203245550756</v>
      </c>
      <c r="L15" s="101">
        <f>(1+$B15)^(-$A15)</f>
        <v>0.6139132535407593</v>
      </c>
      <c r="M15" s="115">
        <f>(1+$N$3)*C3</f>
        <v>1042.5159659970716</v>
      </c>
      <c r="N15" s="103">
        <f t="shared" si="7"/>
        <v>640.0143685534498</v>
      </c>
      <c r="O15" s="102">
        <f>Q$3</f>
        <v>0.048496892991831096</v>
      </c>
      <c r="P15" s="102">
        <f t="shared" si="8"/>
        <v>0.6227712013690414</v>
      </c>
      <c r="Q15" s="103">
        <f t="shared" si="9"/>
        <v>666.3651854648743</v>
      </c>
    </row>
    <row r="16" spans="1:17" ht="12.75">
      <c r="A16" s="69"/>
      <c r="B16" s="56"/>
      <c r="C16" s="56"/>
      <c r="D16" s="13" t="s">
        <v>134</v>
      </c>
      <c r="E16" s="13" t="s">
        <v>134</v>
      </c>
      <c r="F16" s="56"/>
      <c r="G16" s="56"/>
      <c r="H16" s="13" t="s">
        <v>134</v>
      </c>
      <c r="I16" s="56"/>
      <c r="J16" s="56"/>
      <c r="K16" s="62" t="s">
        <v>134</v>
      </c>
      <c r="L16" s="59"/>
      <c r="M16" s="112" t="s">
        <v>134</v>
      </c>
      <c r="N16" s="82" t="s">
        <v>134</v>
      </c>
      <c r="O16" s="56"/>
      <c r="P16" s="13" t="s">
        <v>196</v>
      </c>
      <c r="Q16" s="62" t="s">
        <v>134</v>
      </c>
    </row>
    <row r="17" spans="1:17" ht="12.75">
      <c r="A17" s="57"/>
      <c r="B17" s="55"/>
      <c r="C17" s="55"/>
      <c r="D17" s="94">
        <f>SUM(D5:D15)</f>
        <v>750</v>
      </c>
      <c r="E17" s="94">
        <f>SUM(E5:E15)</f>
        <v>217.26001870110804</v>
      </c>
      <c r="F17" s="55"/>
      <c r="G17" s="55"/>
      <c r="H17" s="105">
        <f>SUM(H5:H15)</f>
        <v>-8.583159569752752E-07</v>
      </c>
      <c r="I17" s="55"/>
      <c r="J17" s="55"/>
      <c r="K17" s="106">
        <f>SUM(K5:K15)</f>
        <v>-8.497405588059337E-07</v>
      </c>
      <c r="L17" s="57"/>
      <c r="M17" s="94">
        <f>SUM(M5:M15)</f>
        <v>475.15965997071487</v>
      </c>
      <c r="N17" s="106">
        <f>SUM(N5:N15)</f>
        <v>0</v>
      </c>
      <c r="O17" s="55"/>
      <c r="P17" s="105">
        <f>Q17-E17</f>
        <v>-1.0793991123136948E-07</v>
      </c>
      <c r="Q17" s="116">
        <f>SUM(Q5:Q15)</f>
        <v>217.26001859316813</v>
      </c>
    </row>
    <row r="18" spans="1:17" ht="12.75">
      <c r="A18" s="58"/>
      <c r="B18" s="58"/>
      <c r="C18" s="58"/>
      <c r="D18" s="58"/>
      <c r="E18" s="58"/>
      <c r="F18" s="58" t="s">
        <v>287</v>
      </c>
      <c r="G18" s="58"/>
      <c r="H18" s="58"/>
      <c r="I18" s="58" t="s">
        <v>283</v>
      </c>
      <c r="J18" s="58"/>
      <c r="K18" s="58"/>
      <c r="L18" s="58" t="s">
        <v>251</v>
      </c>
      <c r="M18" s="58"/>
      <c r="N18" s="58"/>
      <c r="O18" s="139" t="s">
        <v>250</v>
      </c>
      <c r="P18" s="58"/>
      <c r="Q18" s="58"/>
    </row>
    <row r="19" spans="1:17" ht="12.75">
      <c r="A19" s="58"/>
      <c r="B19" s="58"/>
      <c r="C19" s="58"/>
      <c r="D19" s="58"/>
      <c r="E19" s="58"/>
      <c r="F19" s="58" t="s">
        <v>286</v>
      </c>
      <c r="G19" s="58"/>
      <c r="H19" s="58"/>
      <c r="I19" s="139" t="s">
        <v>284</v>
      </c>
      <c r="J19" s="58"/>
      <c r="K19" s="58"/>
      <c r="L19" s="58" t="s">
        <v>285</v>
      </c>
      <c r="M19" s="58"/>
      <c r="N19" s="58"/>
      <c r="O19" s="58"/>
      <c r="P19" s="58"/>
      <c r="Q19" s="58"/>
    </row>
    <row r="20" spans="1:17" ht="12.75">
      <c r="A20" s="58"/>
      <c r="B20" s="58"/>
      <c r="C20" s="58"/>
      <c r="D20" s="58"/>
      <c r="E20" s="58"/>
      <c r="F20" s="58" t="s">
        <v>290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12.75">
      <c r="A21" s="58"/>
      <c r="B21" s="58"/>
      <c r="C21" s="58"/>
      <c r="D21" s="58" t="s">
        <v>270</v>
      </c>
      <c r="E21" s="58"/>
      <c r="F21" s="58" t="s">
        <v>271</v>
      </c>
      <c r="G21" s="58"/>
      <c r="H21" s="58"/>
      <c r="I21" s="58" t="s">
        <v>274</v>
      </c>
      <c r="J21" s="58"/>
      <c r="K21" s="58"/>
      <c r="L21" s="58" t="s">
        <v>280</v>
      </c>
      <c r="M21" s="58"/>
      <c r="N21" s="58"/>
      <c r="O21" s="58" t="s">
        <v>288</v>
      </c>
      <c r="P21" s="58"/>
      <c r="Q21" s="58"/>
    </row>
    <row r="22" spans="1:17" ht="12.75">
      <c r="A22" s="58"/>
      <c r="B22" s="58"/>
      <c r="C22" s="58"/>
      <c r="D22" s="58"/>
      <c r="E22" s="58"/>
      <c r="F22" s="58" t="s">
        <v>276</v>
      </c>
      <c r="G22" s="58"/>
      <c r="H22" s="58"/>
      <c r="I22" s="58" t="s">
        <v>277</v>
      </c>
      <c r="J22" s="58"/>
      <c r="K22" s="58"/>
      <c r="L22" s="58" t="s">
        <v>276</v>
      </c>
      <c r="M22" s="58"/>
      <c r="N22" s="58"/>
      <c r="O22" s="58" t="s">
        <v>289</v>
      </c>
      <c r="P22" s="58"/>
      <c r="Q22" s="58"/>
    </row>
    <row r="23" spans="1:17" ht="12.75">
      <c r="A23" s="58"/>
      <c r="B23" s="58"/>
      <c r="C23" s="58"/>
      <c r="D23" s="58"/>
      <c r="E23" s="58"/>
      <c r="F23" s="58" t="s">
        <v>275</v>
      </c>
      <c r="G23" s="58"/>
      <c r="H23" s="58"/>
      <c r="I23" s="58"/>
      <c r="J23" s="58"/>
      <c r="K23" s="58"/>
      <c r="L23" s="58" t="s">
        <v>281</v>
      </c>
      <c r="M23" s="58"/>
      <c r="N23" s="58"/>
      <c r="O23" s="58" t="s">
        <v>282</v>
      </c>
      <c r="P23" s="58"/>
      <c r="Q23" s="58"/>
    </row>
    <row r="24" spans="1:17" ht="12.7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 t="s">
        <v>291</v>
      </c>
      <c r="P24" s="58"/>
      <c r="Q24" s="58"/>
    </row>
    <row r="25" spans="1:17" ht="12.75">
      <c r="A25" s="58"/>
      <c r="B25" s="58"/>
      <c r="C25" s="58"/>
      <c r="D25" s="58"/>
      <c r="E25" s="58"/>
      <c r="F25" s="58" t="s">
        <v>272</v>
      </c>
      <c r="G25" s="58"/>
      <c r="H25" s="58"/>
      <c r="I25" s="58" t="s">
        <v>273</v>
      </c>
      <c r="J25" s="58"/>
      <c r="K25" s="58"/>
      <c r="L25" s="58" t="s">
        <v>273</v>
      </c>
      <c r="M25" s="58"/>
      <c r="N25" s="58"/>
      <c r="O25" s="58"/>
      <c r="P25" s="58"/>
      <c r="Q25" s="58"/>
    </row>
    <row r="26" spans="1:17" ht="12.75">
      <c r="A26" s="58"/>
      <c r="B26" s="58"/>
      <c r="C26" s="58"/>
      <c r="D26" s="58"/>
      <c r="E26" s="58"/>
      <c r="F26" s="58"/>
      <c r="G26" s="58"/>
      <c r="H26" s="58"/>
      <c r="I26" s="58" t="s">
        <v>278</v>
      </c>
      <c r="J26" s="58"/>
      <c r="K26" s="58"/>
      <c r="L26" s="58"/>
      <c r="M26" s="58"/>
      <c r="N26" s="58"/>
      <c r="O26" s="58"/>
      <c r="P26" s="58"/>
      <c r="Q26" s="58"/>
    </row>
    <row r="27" spans="1:17" ht="12.75">
      <c r="A27" s="58"/>
      <c r="B27" s="58"/>
      <c r="C27" s="58"/>
      <c r="D27" s="58"/>
      <c r="E27" s="58"/>
      <c r="F27" s="58"/>
      <c r="G27" s="58"/>
      <c r="H27" s="58"/>
      <c r="I27" s="58" t="s">
        <v>279</v>
      </c>
      <c r="J27" s="58"/>
      <c r="K27" s="58"/>
      <c r="L27" s="58"/>
      <c r="M27" s="58"/>
      <c r="N27" s="58"/>
      <c r="O27" s="58"/>
      <c r="P27" s="58"/>
      <c r="Q27" s="58"/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W83"/>
  <sheetViews>
    <sheetView zoomScale="78" zoomScaleNormal="78" workbookViewId="0" topLeftCell="A1">
      <selection activeCell="E7" sqref="E7"/>
    </sheetView>
  </sheetViews>
  <sheetFormatPr defaultColWidth="11.421875" defaultRowHeight="12.75"/>
  <cols>
    <col min="1" max="1" width="12.8515625" style="0" bestFit="1" customWidth="1"/>
    <col min="4" max="4" width="11.421875" style="35" customWidth="1"/>
    <col min="5" max="5" width="17.8515625" style="0" bestFit="1" customWidth="1"/>
    <col min="9" max="22" width="11.421875" style="37" customWidth="1"/>
  </cols>
  <sheetData>
    <row r="1" spans="3:5" s="37" customFormat="1" ht="12.75">
      <c r="C1" s="37" t="s">
        <v>231</v>
      </c>
      <c r="D1" s="39"/>
      <c r="E1" s="37" t="s">
        <v>232</v>
      </c>
    </row>
    <row r="2" spans="1:8" ht="12.75">
      <c r="A2" s="2" t="s">
        <v>108</v>
      </c>
      <c r="B2" s="37"/>
      <c r="C2" s="32" t="s">
        <v>26</v>
      </c>
      <c r="D2" s="33">
        <v>0.05</v>
      </c>
      <c r="E2" s="83">
        <v>0.05</v>
      </c>
      <c r="F2" s="66">
        <v>0.05</v>
      </c>
      <c r="G2" s="37"/>
      <c r="H2" s="37"/>
    </row>
    <row r="3" spans="1:8" ht="12.75">
      <c r="A3" s="38" t="s">
        <v>103</v>
      </c>
      <c r="B3" s="37"/>
      <c r="C3" s="32" t="s">
        <v>27</v>
      </c>
      <c r="D3" s="36">
        <v>-0.5</v>
      </c>
      <c r="E3" s="84">
        <v>-0.5</v>
      </c>
      <c r="F3" s="58">
        <v>0</v>
      </c>
      <c r="G3" s="37"/>
      <c r="H3" s="37"/>
    </row>
    <row r="4" spans="2:8" ht="12.75">
      <c r="B4" s="37"/>
      <c r="C4" s="32" t="s">
        <v>28</v>
      </c>
      <c r="D4" s="36">
        <v>0.2</v>
      </c>
      <c r="E4" s="84">
        <v>0.1</v>
      </c>
      <c r="F4" s="58">
        <v>0.1</v>
      </c>
      <c r="G4" s="37" t="s">
        <v>230</v>
      </c>
      <c r="H4" s="37"/>
    </row>
    <row r="5" spans="1:8" ht="12.75">
      <c r="A5" s="32" t="s">
        <v>101</v>
      </c>
      <c r="B5" s="31">
        <f>1/2</f>
        <v>0.5</v>
      </c>
      <c r="C5" s="32" t="s">
        <v>102</v>
      </c>
      <c r="D5" s="36">
        <v>-0.1</v>
      </c>
      <c r="E5" s="84">
        <v>-0.15</v>
      </c>
      <c r="F5" s="58">
        <v>0</v>
      </c>
      <c r="G5" s="32" t="s">
        <v>252</v>
      </c>
      <c r="H5" s="43">
        <v>20</v>
      </c>
    </row>
    <row r="6" spans="1:23" ht="12.75">
      <c r="A6" s="30"/>
      <c r="B6" s="30" t="s">
        <v>98</v>
      </c>
      <c r="C6" s="30" t="s">
        <v>99</v>
      </c>
      <c r="D6" s="34" t="s">
        <v>114</v>
      </c>
      <c r="E6" s="30" t="s">
        <v>119</v>
      </c>
      <c r="F6" s="30" t="s">
        <v>120</v>
      </c>
      <c r="G6" s="42" t="s">
        <v>112</v>
      </c>
      <c r="H6" s="42" t="s">
        <v>100</v>
      </c>
      <c r="I6" s="42" t="s">
        <v>116</v>
      </c>
      <c r="J6" s="42" t="s">
        <v>121</v>
      </c>
      <c r="K6" s="42"/>
      <c r="W6" s="53"/>
    </row>
    <row r="7" spans="1:11" ht="12.75">
      <c r="A7" s="44" t="s">
        <v>32</v>
      </c>
      <c r="B7" s="30" t="s">
        <v>97</v>
      </c>
      <c r="C7" s="30" t="s">
        <v>96</v>
      </c>
      <c r="D7" s="34" t="s">
        <v>113</v>
      </c>
      <c r="E7" s="30" t="s">
        <v>253</v>
      </c>
      <c r="F7" s="30" t="s">
        <v>111</v>
      </c>
      <c r="G7" s="42"/>
      <c r="H7" s="42" t="s">
        <v>115</v>
      </c>
      <c r="I7" s="42" t="s">
        <v>117</v>
      </c>
      <c r="J7" s="42" t="s">
        <v>118</v>
      </c>
      <c r="K7" s="42"/>
    </row>
    <row r="8" spans="1:10" ht="12.75">
      <c r="A8" s="1">
        <v>0</v>
      </c>
      <c r="B8" s="1">
        <f>A8*$B$5</f>
        <v>0</v>
      </c>
      <c r="C8" s="1">
        <f>EXP(-D8*B8)</f>
        <v>1</v>
      </c>
      <c r="D8" s="3">
        <f aca="true" t="shared" si="0" ref="D8:D49">IF(AND(A8&gt;$H$5,A8&gt;0),D7,$D$2+$D$5*B8/100+LN(1+$D$3*B8+$D$4*B8*B8)/100)</f>
        <v>0.05</v>
      </c>
      <c r="E8" s="1">
        <f>G8/C8</f>
        <v>0.976642820074266</v>
      </c>
      <c r="F8" s="3">
        <f>IF(B8=0,"",-LN(C8)/B8)</f>
      </c>
      <c r="G8" s="1">
        <f>EXP(-D9*B9)</f>
        <v>0.976642820074266</v>
      </c>
      <c r="H8" s="1"/>
      <c r="I8" s="1"/>
      <c r="J8" s="41"/>
    </row>
    <row r="9" spans="1:10" ht="12.75">
      <c r="A9" s="1">
        <v>1</v>
      </c>
      <c r="B9" s="1">
        <f>A9*$B$5</f>
        <v>0.5</v>
      </c>
      <c r="C9" s="1">
        <f aca="true" t="shared" si="1" ref="C9:C49">EXP(-D9*B9)</f>
        <v>0.976642820074266</v>
      </c>
      <c r="D9" s="3">
        <f t="shared" si="0"/>
        <v>0.04726856448685791</v>
      </c>
      <c r="E9" s="1">
        <f>G9/C9</f>
        <v>0.9784369121003577</v>
      </c>
      <c r="F9" s="3">
        <f>IF(B9=0,1,-LN(E9)/$B$9)</f>
        <v>0.04359793663436751</v>
      </c>
      <c r="G9" s="1">
        <f>EXP(-D10*B10)</f>
        <v>0.95558338509845</v>
      </c>
      <c r="H9" s="3">
        <f>-LN(C9)/B9</f>
        <v>0.0472685644868579</v>
      </c>
      <c r="I9" s="3">
        <f>D8-D9</f>
        <v>0.0027314355131420956</v>
      </c>
      <c r="J9" s="41">
        <f>(LOG(E9)-LOG(C9))/B9</f>
        <v>0.0015941334214569572</v>
      </c>
    </row>
    <row r="10" spans="1:10" ht="12.75">
      <c r="A10" s="1">
        <v>2</v>
      </c>
      <c r="B10" s="1">
        <f>A10*$B$5</f>
        <v>1</v>
      </c>
      <c r="C10" s="1">
        <f t="shared" si="1"/>
        <v>0.95558338509845</v>
      </c>
      <c r="D10" s="3">
        <f t="shared" si="0"/>
        <v>0.045433250560612676</v>
      </c>
      <c r="E10" s="1">
        <f>G10/C10</f>
        <v>0.9782728840896712</v>
      </c>
      <c r="F10" s="3">
        <f>IF(B10=0,1,-LN(E10)/$B$9)</f>
        <v>0.04393325056061267</v>
      </c>
      <c r="G10" s="1">
        <f>EXP(-D11*B11)</f>
        <v>0.9348213141284316</v>
      </c>
      <c r="H10" s="3">
        <f>-LN(C10)/B10</f>
        <v>0.0454332505606127</v>
      </c>
      <c r="I10" s="3">
        <f aca="true" t="shared" si="2" ref="I10:I48">D9-D10</f>
        <v>0.0018353139262452314</v>
      </c>
      <c r="J10" s="41">
        <f aca="true" t="shared" si="3" ref="J10:J48">(LOG(E10)-LOG(C10))/B10</f>
        <v>0.010191425868128403</v>
      </c>
    </row>
    <row r="11" spans="1:10" ht="12.75">
      <c r="A11" s="1">
        <v>3</v>
      </c>
      <c r="B11" s="1">
        <f>A11*$B$5</f>
        <v>1.5</v>
      </c>
      <c r="C11" s="1">
        <f t="shared" si="1"/>
        <v>0.9348213141284316</v>
      </c>
      <c r="D11" s="3">
        <f t="shared" si="0"/>
        <v>0.044933250560612675</v>
      </c>
      <c r="E11" s="1">
        <f>G11/C11</f>
        <v>0.976151720681161</v>
      </c>
      <c r="F11" s="3">
        <f>IF(B11=0,1,-LN(E11)/$B$9)</f>
        <v>0.04827450626559349</v>
      </c>
      <c r="G11" s="1">
        <f>EXP(-D12*B12)</f>
        <v>0.9125274343158926</v>
      </c>
      <c r="H11" s="3">
        <f>-LN(C11)/B11</f>
        <v>0.04493325056061265</v>
      </c>
      <c r="I11" s="3">
        <f t="shared" si="2"/>
        <v>0.0005000000000000004</v>
      </c>
      <c r="J11" s="41">
        <f t="shared" si="3"/>
        <v>0.012525812209866536</v>
      </c>
    </row>
    <row r="12" spans="1:10" ht="12.75">
      <c r="A12" s="1">
        <v>4</v>
      </c>
      <c r="B12" s="1">
        <f aca="true" t="shared" si="4" ref="B12:B49">A12*$B$5</f>
        <v>2</v>
      </c>
      <c r="C12" s="1">
        <f t="shared" si="1"/>
        <v>0.9125274343158926</v>
      </c>
      <c r="D12" s="3">
        <f t="shared" si="0"/>
        <v>0.045768564486857906</v>
      </c>
      <c r="E12" s="1">
        <f aca="true" t="shared" si="5" ref="E12:E47">G12/C12</f>
        <v>0.973154063169825</v>
      </c>
      <c r="F12" s="3">
        <f>IF(B12=0,1,-LN(E12)/$B$9)</f>
        <v>0.05442574205256852</v>
      </c>
      <c r="G12" s="1">
        <f aca="true" t="shared" si="6" ref="G12:G47">EXP(-D13*B13)</f>
        <v>0.8880297804584465</v>
      </c>
      <c r="H12" s="3">
        <f>-LN(C12)/B12</f>
        <v>0.045768564486857885</v>
      </c>
      <c r="I12" s="3">
        <f t="shared" si="2"/>
        <v>-0.0008353139262452305</v>
      </c>
      <c r="J12" s="41">
        <f t="shared" si="3"/>
        <v>0.01396783513954545</v>
      </c>
    </row>
    <row r="13" spans="1:10" ht="12.75">
      <c r="A13" s="1">
        <v>5</v>
      </c>
      <c r="B13" s="1">
        <f t="shared" si="4"/>
        <v>2.5</v>
      </c>
      <c r="C13" s="1">
        <f t="shared" si="1"/>
        <v>0.8880297804584465</v>
      </c>
      <c r="D13" s="3">
        <f t="shared" si="0"/>
        <v>0.0475</v>
      </c>
      <c r="E13" s="1">
        <f t="shared" si="5"/>
        <v>0.9703281866704534</v>
      </c>
      <c r="F13" s="3">
        <f aca="true" t="shared" si="7" ref="F13:F47">IF(B13=0,1,-LN(E13)/$B$9)</f>
        <v>0.060241855868049456</v>
      </c>
      <c r="G13" s="1">
        <f t="shared" si="6"/>
        <v>0.8616803265816052</v>
      </c>
      <c r="H13" s="3">
        <f aca="true" t="shared" si="8" ref="H13:H47">-LN(C13)/B13</f>
        <v>0.047499999999999994</v>
      </c>
      <c r="I13" s="3">
        <f t="shared" si="2"/>
        <v>-0.0017314355131420947</v>
      </c>
      <c r="J13" s="41">
        <f t="shared" si="3"/>
        <v>0.015396446773783476</v>
      </c>
    </row>
    <row r="14" spans="1:10" ht="12.75">
      <c r="A14" s="1">
        <v>6</v>
      </c>
      <c r="B14" s="1">
        <f t="shared" si="4"/>
        <v>3</v>
      </c>
      <c r="C14" s="1">
        <f t="shared" si="1"/>
        <v>0.8616803265816052</v>
      </c>
      <c r="D14" s="3">
        <f t="shared" si="0"/>
        <v>0.04962364264467491</v>
      </c>
      <c r="E14" s="1">
        <f t="shared" si="5"/>
        <v>0.9680698251833765</v>
      </c>
      <c r="F14" s="3">
        <f t="shared" si="7"/>
        <v>0.0649021217063024</v>
      </c>
      <c r="G14" s="1">
        <f t="shared" si="6"/>
        <v>0.8341667231178093</v>
      </c>
      <c r="H14" s="3">
        <f t="shared" si="8"/>
        <v>0.0496236426446749</v>
      </c>
      <c r="I14" s="3">
        <f t="shared" si="2"/>
        <v>-0.0021236426446749126</v>
      </c>
      <c r="J14" s="41">
        <f t="shared" si="3"/>
        <v>0.0168535019523778</v>
      </c>
    </row>
    <row r="15" spans="1:10" ht="12.75">
      <c r="A15" s="1">
        <v>7</v>
      </c>
      <c r="B15" s="1">
        <f t="shared" si="4"/>
        <v>3.5</v>
      </c>
      <c r="C15" s="1">
        <f t="shared" si="1"/>
        <v>0.8341667231178093</v>
      </c>
      <c r="D15" s="3">
        <f t="shared" si="0"/>
        <v>0.05180628251062171</v>
      </c>
      <c r="E15" s="1">
        <f t="shared" si="5"/>
        <v>0.9663624523921778</v>
      </c>
      <c r="F15" s="3">
        <f t="shared" si="7"/>
        <v>0.06843261125478953</v>
      </c>
      <c r="G15" s="1">
        <f t="shared" si="6"/>
        <v>0.8061074002560729</v>
      </c>
      <c r="H15" s="3">
        <f t="shared" si="8"/>
        <v>0.05180628251062171</v>
      </c>
      <c r="I15" s="3">
        <f t="shared" si="2"/>
        <v>-0.0021826398659467935</v>
      </c>
      <c r="J15" s="41">
        <f t="shared" si="3"/>
        <v>0.018253481843686026</v>
      </c>
    </row>
    <row r="16" spans="1:10" ht="12.75">
      <c r="A16" s="1">
        <v>8</v>
      </c>
      <c r="B16" s="1">
        <f t="shared" si="4"/>
        <v>4</v>
      </c>
      <c r="C16" s="1">
        <f t="shared" si="1"/>
        <v>0.8061074002560729</v>
      </c>
      <c r="D16" s="3">
        <f t="shared" si="0"/>
        <v>0.0538845736036427</v>
      </c>
      <c r="E16" s="1">
        <f t="shared" si="5"/>
        <v>0.9650797106365454</v>
      </c>
      <c r="F16" s="3">
        <f t="shared" si="7"/>
        <v>0.07108915871716276</v>
      </c>
      <c r="G16" s="1">
        <f t="shared" si="6"/>
        <v>0.7779578965811087</v>
      </c>
      <c r="H16" s="3">
        <f t="shared" si="8"/>
        <v>0.05388457360364269</v>
      </c>
      <c r="I16" s="3">
        <f t="shared" si="2"/>
        <v>-0.0020782910930209966</v>
      </c>
      <c r="J16" s="41">
        <f t="shared" si="3"/>
        <v>0.01954256930652061</v>
      </c>
    </row>
    <row r="17" spans="1:10" ht="12.75">
      <c r="A17" s="1">
        <v>9</v>
      </c>
      <c r="B17" s="1">
        <f t="shared" si="4"/>
        <v>4.5</v>
      </c>
      <c r="C17" s="1">
        <f t="shared" si="1"/>
        <v>0.7779578965811087</v>
      </c>
      <c r="D17" s="3">
        <f t="shared" si="0"/>
        <v>0.05579619417181158</v>
      </c>
      <c r="E17" s="1">
        <f t="shared" si="5"/>
        <v>0.9641048018664437</v>
      </c>
      <c r="F17" s="3">
        <f t="shared" si="7"/>
        <v>0.07311054930323249</v>
      </c>
      <c r="G17" s="1">
        <f t="shared" si="6"/>
        <v>0.7500329437437651</v>
      </c>
      <c r="H17" s="3">
        <f t="shared" si="8"/>
        <v>0.055796194171811586</v>
      </c>
      <c r="I17" s="3">
        <f t="shared" si="2"/>
        <v>-0.0019116205681688758</v>
      </c>
      <c r="J17" s="41">
        <f t="shared" si="3"/>
        <v>0.020704033892096872</v>
      </c>
    </row>
    <row r="18" spans="1:10" ht="12.75">
      <c r="A18" s="1">
        <v>10</v>
      </c>
      <c r="B18" s="1">
        <f t="shared" si="4"/>
        <v>5</v>
      </c>
      <c r="C18" s="1">
        <f t="shared" si="1"/>
        <v>0.7500329437437651</v>
      </c>
      <c r="D18" s="3">
        <f t="shared" si="0"/>
        <v>0.05752762968495369</v>
      </c>
      <c r="E18" s="1">
        <f t="shared" si="5"/>
        <v>0.9633527049284297</v>
      </c>
      <c r="F18" s="3">
        <f t="shared" si="7"/>
        <v>0.07467135564741036</v>
      </c>
      <c r="G18" s="1">
        <f t="shared" si="6"/>
        <v>0.7225462651409889</v>
      </c>
      <c r="H18" s="3">
        <f t="shared" si="8"/>
        <v>0.057527629684953674</v>
      </c>
      <c r="I18" s="3">
        <f t="shared" si="2"/>
        <v>-0.0017314355131421086</v>
      </c>
      <c r="J18" s="41">
        <f t="shared" si="3"/>
        <v>0.021740996357758533</v>
      </c>
    </row>
    <row r="19" spans="1:10" ht="12.75">
      <c r="A19" s="1">
        <v>11</v>
      </c>
      <c r="B19" s="1">
        <f t="shared" si="4"/>
        <v>5.5</v>
      </c>
      <c r="C19" s="1">
        <f t="shared" si="1"/>
        <v>0.7225462651409889</v>
      </c>
      <c r="D19" s="3">
        <f t="shared" si="0"/>
        <v>0.05908615022699518</v>
      </c>
      <c r="E19" s="1">
        <f t="shared" si="5"/>
        <v>0.9627652260119858</v>
      </c>
      <c r="F19" s="3">
        <f t="shared" si="7"/>
        <v>0.07589138257353872</v>
      </c>
      <c r="G19" s="1">
        <f t="shared" si="6"/>
        <v>0.6956424182625803</v>
      </c>
      <c r="H19" s="3">
        <f t="shared" si="8"/>
        <v>0.05908615022699519</v>
      </c>
      <c r="I19" s="3">
        <f t="shared" si="2"/>
        <v>-0.0015585205420414888</v>
      </c>
      <c r="J19" s="41">
        <f t="shared" si="3"/>
        <v>0.022664497302699992</v>
      </c>
    </row>
    <row r="20" spans="1:10" ht="12.75">
      <c r="A20" s="1">
        <v>12</v>
      </c>
      <c r="B20" s="1">
        <f t="shared" si="4"/>
        <v>6</v>
      </c>
      <c r="C20" s="1">
        <f t="shared" si="1"/>
        <v>0.6956424182625803</v>
      </c>
      <c r="D20" s="3">
        <f t="shared" si="0"/>
        <v>0.060486586255873824</v>
      </c>
      <c r="E20" s="1">
        <f t="shared" si="5"/>
        <v>0.9623027331011146</v>
      </c>
      <c r="F20" s="3">
        <f t="shared" si="7"/>
        <v>0.07685237289615043</v>
      </c>
      <c r="G20" s="1">
        <f t="shared" si="6"/>
        <v>0.6694186003551498</v>
      </c>
      <c r="H20" s="3">
        <f t="shared" si="8"/>
        <v>0.06048658625587381</v>
      </c>
      <c r="I20" s="3">
        <f t="shared" si="2"/>
        <v>-0.0014004360288786474</v>
      </c>
      <c r="J20" s="41">
        <f t="shared" si="3"/>
        <v>0.02348761051759364</v>
      </c>
    </row>
    <row r="21" spans="1:10" ht="12.75">
      <c r="A21" s="1">
        <v>13</v>
      </c>
      <c r="B21" s="1">
        <f t="shared" si="4"/>
        <v>6.5</v>
      </c>
      <c r="C21" s="1">
        <f t="shared" si="1"/>
        <v>0.6694186003551498</v>
      </c>
      <c r="D21" s="3">
        <f t="shared" si="0"/>
        <v>0.061745492920510466</v>
      </c>
      <c r="E21" s="1">
        <f t="shared" si="5"/>
        <v>0.9619377874793725</v>
      </c>
      <c r="F21" s="3">
        <f t="shared" si="7"/>
        <v>0.07761100077497221</v>
      </c>
      <c r="G21" s="1">
        <f t="shared" si="6"/>
        <v>0.6439390473231711</v>
      </c>
      <c r="H21" s="3">
        <f t="shared" si="8"/>
        <v>0.06174549292051047</v>
      </c>
      <c r="I21" s="3">
        <f t="shared" si="2"/>
        <v>-0.0012589066646366415</v>
      </c>
      <c r="J21" s="41">
        <f t="shared" si="3"/>
        <v>0.024222955367654044</v>
      </c>
    </row>
    <row r="22" spans="1:10" ht="12.75">
      <c r="A22" s="1">
        <v>14</v>
      </c>
      <c r="B22" s="1">
        <f t="shared" si="4"/>
        <v>7</v>
      </c>
      <c r="C22" s="1">
        <f t="shared" si="1"/>
        <v>0.6439390473231711</v>
      </c>
      <c r="D22" s="3">
        <f t="shared" si="0"/>
        <v>0.06287874348154346</v>
      </c>
      <c r="E22" s="1">
        <f t="shared" si="5"/>
        <v>0.9616509250974985</v>
      </c>
      <c r="F22" s="3">
        <f t="shared" si="7"/>
        <v>0.07820751578283226</v>
      </c>
      <c r="G22" s="1">
        <f t="shared" si="6"/>
        <v>0.6192445805647293</v>
      </c>
      <c r="H22" s="3">
        <f t="shared" si="8"/>
        <v>0.06287874348154346</v>
      </c>
      <c r="I22" s="3">
        <f t="shared" si="2"/>
        <v>-0.0011332505610329932</v>
      </c>
      <c r="J22" s="41">
        <f t="shared" si="3"/>
        <v>0.024881813283912563</v>
      </c>
    </row>
    <row r="23" spans="1:10" ht="12.75">
      <c r="A23" s="1">
        <v>15</v>
      </c>
      <c r="B23" s="1">
        <f t="shared" si="4"/>
        <v>7.5</v>
      </c>
      <c r="C23" s="1">
        <f t="shared" si="1"/>
        <v>0.6192445805647293</v>
      </c>
      <c r="D23" s="3">
        <f t="shared" si="0"/>
        <v>0.06390066163496272</v>
      </c>
      <c r="E23" s="1">
        <f t="shared" si="5"/>
        <v>0.961427972272986</v>
      </c>
      <c r="F23" s="3">
        <f t="shared" si="7"/>
        <v>0.07867125718380383</v>
      </c>
      <c r="G23" s="1">
        <f t="shared" si="6"/>
        <v>0.5953590614333835</v>
      </c>
      <c r="H23" s="3">
        <f t="shared" si="8"/>
        <v>0.06390066163496272</v>
      </c>
      <c r="I23" s="3">
        <f t="shared" si="2"/>
        <v>-0.00102191815341926</v>
      </c>
      <c r="J23" s="41">
        <f t="shared" si="3"/>
        <v>0.025473938546076626</v>
      </c>
    </row>
    <row r="24" spans="1:10" ht="12.75">
      <c r="A24" s="1">
        <v>16</v>
      </c>
      <c r="B24" s="1">
        <f t="shared" si="4"/>
        <v>8</v>
      </c>
      <c r="C24" s="1">
        <f t="shared" si="1"/>
        <v>0.5953590614333835</v>
      </c>
      <c r="D24" s="3">
        <f t="shared" si="0"/>
        <v>0.06482382385676527</v>
      </c>
      <c r="E24" s="1">
        <f t="shared" si="5"/>
        <v>0.9612583416299033</v>
      </c>
      <c r="F24" s="3">
        <f t="shared" si="7"/>
        <v>0.07902416060293416</v>
      </c>
      <c r="G24" s="1">
        <f t="shared" si="6"/>
        <v>0.5722938640677899</v>
      </c>
      <c r="H24" s="3">
        <f t="shared" si="8"/>
        <v>0.06482382385676527</v>
      </c>
      <c r="I24" s="3">
        <f t="shared" si="2"/>
        <v>-0.0009231622218025537</v>
      </c>
      <c r="J24" s="41">
        <f t="shared" si="3"/>
        <v>0.026007644191430868</v>
      </c>
    </row>
    <row r="25" spans="1:10" ht="12.75">
      <c r="A25" s="1">
        <v>17</v>
      </c>
      <c r="B25" s="1">
        <f t="shared" si="4"/>
        <v>8.5</v>
      </c>
      <c r="C25" s="1">
        <f t="shared" si="1"/>
        <v>0.5722938640677899</v>
      </c>
      <c r="D25" s="3">
        <f t="shared" si="0"/>
        <v>0.0656591377830105</v>
      </c>
      <c r="E25" s="1">
        <f t="shared" si="5"/>
        <v>0.9611339359797151</v>
      </c>
      <c r="F25" s="3">
        <f t="shared" si="7"/>
        <v>0.07928301651243998</v>
      </c>
      <c r="G25" s="1">
        <f t="shared" si="6"/>
        <v>0.550051054108515</v>
      </c>
      <c r="H25" s="3">
        <f t="shared" si="8"/>
        <v>0.06565913778301051</v>
      </c>
      <c r="I25" s="3">
        <f t="shared" si="2"/>
        <v>-0.0008353139262452236</v>
      </c>
      <c r="J25" s="41">
        <f t="shared" si="3"/>
        <v>0.02648997907392224</v>
      </c>
    </row>
    <row r="26" spans="1:10" ht="12.75">
      <c r="A26" s="1">
        <v>18</v>
      </c>
      <c r="B26" s="1">
        <f t="shared" si="4"/>
        <v>9</v>
      </c>
      <c r="C26" s="1">
        <f t="shared" si="1"/>
        <v>0.550051054108515</v>
      </c>
      <c r="D26" s="3">
        <f t="shared" si="0"/>
        <v>0.06641601993464546</v>
      </c>
      <c r="E26" s="1">
        <f t="shared" si="5"/>
        <v>0.9610484292616915</v>
      </c>
      <c r="F26" s="3">
        <f t="shared" si="7"/>
        <v>0.07946095325689492</v>
      </c>
      <c r="G26" s="1">
        <f t="shared" si="6"/>
        <v>0.528625701564726</v>
      </c>
      <c r="H26" s="3">
        <f t="shared" si="8"/>
        <v>0.06641601993464546</v>
      </c>
      <c r="I26" s="3">
        <f t="shared" si="2"/>
        <v>-0.0007568821516349689</v>
      </c>
      <c r="J26" s="41">
        <f t="shared" si="3"/>
        <v>0.02692691910502392</v>
      </c>
    </row>
    <row r="27" spans="1:10" ht="12.75">
      <c r="A27" s="1">
        <v>19</v>
      </c>
      <c r="B27" s="1">
        <f t="shared" si="4"/>
        <v>9.5</v>
      </c>
      <c r="C27" s="1">
        <f t="shared" si="1"/>
        <v>0.528625701564726</v>
      </c>
      <c r="D27" s="3">
        <f t="shared" si="0"/>
        <v>0.06710259537265861</v>
      </c>
      <c r="E27" s="1">
        <f t="shared" si="5"/>
        <v>0.9609967843342065</v>
      </c>
      <c r="F27" s="3">
        <f t="shared" si="7"/>
        <v>0.0795684323674426</v>
      </c>
      <c r="G27" s="1">
        <f t="shared" si="6"/>
        <v>0.5080075993201156</v>
      </c>
      <c r="H27" s="3">
        <f t="shared" si="8"/>
        <v>0.06710259537265861</v>
      </c>
      <c r="I27" s="3">
        <f t="shared" si="2"/>
        <v>-0.0006865754380131484</v>
      </c>
      <c r="J27" s="41">
        <f t="shared" si="3"/>
        <v>0.02732354314905482</v>
      </c>
    </row>
    <row r="28" spans="1:10" ht="12.75">
      <c r="A28" s="1">
        <v>20</v>
      </c>
      <c r="B28" s="1">
        <f t="shared" si="4"/>
        <v>10</v>
      </c>
      <c r="C28" s="1">
        <f t="shared" si="1"/>
        <v>0.5080075993201156</v>
      </c>
      <c r="D28" s="3">
        <f t="shared" si="0"/>
        <v>0.06772588722239781</v>
      </c>
      <c r="E28" s="1">
        <f t="shared" si="5"/>
        <v>0.9667039885161238</v>
      </c>
      <c r="F28" s="3">
        <f t="shared" si="7"/>
        <v>0.06772588722239799</v>
      </c>
      <c r="G28" s="1">
        <f t="shared" si="6"/>
        <v>0.4910929724592567</v>
      </c>
      <c r="H28" s="3">
        <f t="shared" si="8"/>
        <v>0.06772588722239781</v>
      </c>
      <c r="I28" s="3">
        <f t="shared" si="2"/>
        <v>-0.0006232918497391937</v>
      </c>
      <c r="J28" s="41">
        <f t="shared" si="3"/>
        <v>0.02794233014755485</v>
      </c>
    </row>
    <row r="29" spans="1:10" ht="12.75">
      <c r="A29" s="1">
        <v>21</v>
      </c>
      <c r="B29" s="1">
        <f t="shared" si="4"/>
        <v>10.5</v>
      </c>
      <c r="C29" s="1">
        <f t="shared" si="1"/>
        <v>0.4910929724592567</v>
      </c>
      <c r="D29" s="3">
        <f t="shared" si="0"/>
        <v>0.06772588722239781</v>
      </c>
      <c r="E29" s="1">
        <f t="shared" si="5"/>
        <v>0.9667039885161239</v>
      </c>
      <c r="F29" s="3">
        <f t="shared" si="7"/>
        <v>0.06772588722239777</v>
      </c>
      <c r="G29" s="1">
        <f t="shared" si="6"/>
        <v>0.47474153520860246</v>
      </c>
      <c r="H29" s="3">
        <f t="shared" si="8"/>
        <v>0.06772588722239781</v>
      </c>
      <c r="I29" s="3">
        <f t="shared" si="2"/>
        <v>0</v>
      </c>
      <c r="J29" s="41">
        <f t="shared" si="3"/>
        <v>0.028012361050180307</v>
      </c>
    </row>
    <row r="30" spans="1:10" ht="12.75">
      <c r="A30" s="1">
        <v>22</v>
      </c>
      <c r="B30" s="1">
        <f t="shared" si="4"/>
        <v>11</v>
      </c>
      <c r="C30" s="1">
        <f t="shared" si="1"/>
        <v>0.47474153520860246</v>
      </c>
      <c r="D30" s="3">
        <f t="shared" si="0"/>
        <v>0.06772588722239781</v>
      </c>
      <c r="E30" s="1">
        <f t="shared" si="5"/>
        <v>0.9667039885161239</v>
      </c>
      <c r="F30" s="3">
        <f t="shared" si="7"/>
        <v>0.06772588722239777</v>
      </c>
      <c r="G30" s="1">
        <f t="shared" si="6"/>
        <v>0.45893453560042385</v>
      </c>
      <c r="H30" s="3">
        <f t="shared" si="8"/>
        <v>0.06772588722239781</v>
      </c>
      <c r="I30" s="3">
        <f t="shared" si="2"/>
        <v>0</v>
      </c>
      <c r="J30" s="41">
        <f t="shared" si="3"/>
        <v>0.028076025507112534</v>
      </c>
    </row>
    <row r="31" spans="1:10" ht="12.75">
      <c r="A31" s="1">
        <v>23</v>
      </c>
      <c r="B31" s="1">
        <f t="shared" si="4"/>
        <v>11.5</v>
      </c>
      <c r="C31" s="1">
        <f t="shared" si="1"/>
        <v>0.45893453560042385</v>
      </c>
      <c r="D31" s="3">
        <f t="shared" si="0"/>
        <v>0.06772588722239781</v>
      </c>
      <c r="E31" s="1">
        <f t="shared" si="5"/>
        <v>0.966703988516124</v>
      </c>
      <c r="F31" s="3">
        <f t="shared" si="7"/>
        <v>0.06772588722239753</v>
      </c>
      <c r="G31" s="1">
        <f t="shared" si="6"/>
        <v>0.44365384603272484</v>
      </c>
      <c r="H31" s="3">
        <f t="shared" si="8"/>
        <v>0.06772588722239781</v>
      </c>
      <c r="I31" s="3">
        <f t="shared" si="2"/>
        <v>0</v>
      </c>
      <c r="J31" s="41">
        <f t="shared" si="3"/>
        <v>0.028134153924311525</v>
      </c>
    </row>
    <row r="32" spans="1:10" ht="12.75">
      <c r="A32" s="1">
        <v>24</v>
      </c>
      <c r="B32" s="1">
        <f t="shared" si="4"/>
        <v>12</v>
      </c>
      <c r="C32" s="1">
        <f t="shared" si="1"/>
        <v>0.44365384603272484</v>
      </c>
      <c r="D32" s="3">
        <f t="shared" si="0"/>
        <v>0.06772588722239781</v>
      </c>
      <c r="E32" s="1">
        <f t="shared" si="5"/>
        <v>0.9667039885161239</v>
      </c>
      <c r="F32" s="3">
        <f t="shared" si="7"/>
        <v>0.06772588722239777</v>
      </c>
      <c r="G32" s="1">
        <f t="shared" si="6"/>
        <v>0.42888194248035344</v>
      </c>
      <c r="H32" s="3">
        <f t="shared" si="8"/>
        <v>0.06772588722239781</v>
      </c>
      <c r="I32" s="3">
        <f t="shared" si="2"/>
        <v>0</v>
      </c>
      <c r="J32" s="41">
        <f t="shared" si="3"/>
        <v>0.02818743830674393</v>
      </c>
    </row>
    <row r="33" spans="1:10" ht="12.75">
      <c r="A33" s="1">
        <v>25</v>
      </c>
      <c r="B33" s="1">
        <f t="shared" si="4"/>
        <v>12.5</v>
      </c>
      <c r="C33" s="1">
        <f t="shared" si="1"/>
        <v>0.42888194248035344</v>
      </c>
      <c r="D33" s="3">
        <f t="shared" si="0"/>
        <v>0.06772588722239781</v>
      </c>
      <c r="E33" s="1">
        <f t="shared" si="5"/>
        <v>0.9667039885161238</v>
      </c>
      <c r="F33" s="3">
        <f t="shared" si="7"/>
        <v>0.06772588722239799</v>
      </c>
      <c r="G33" s="1">
        <f t="shared" si="6"/>
        <v>0.4146018843983005</v>
      </c>
      <c r="H33" s="3">
        <f t="shared" si="8"/>
        <v>0.06772588722239781</v>
      </c>
      <c r="I33" s="3">
        <f t="shared" si="2"/>
        <v>0</v>
      </c>
      <c r="J33" s="41">
        <f t="shared" si="3"/>
        <v>0.028236459938581746</v>
      </c>
    </row>
    <row r="34" spans="1:10" ht="12.75">
      <c r="A34" s="1">
        <v>26</v>
      </c>
      <c r="B34" s="1">
        <f t="shared" si="4"/>
        <v>13</v>
      </c>
      <c r="C34" s="1">
        <f t="shared" si="1"/>
        <v>0.4146018843983005</v>
      </c>
      <c r="D34" s="3">
        <f t="shared" si="0"/>
        <v>0.06772588722239781</v>
      </c>
      <c r="E34" s="1">
        <f t="shared" si="5"/>
        <v>0.9667039885161239</v>
      </c>
      <c r="F34" s="3">
        <f t="shared" si="7"/>
        <v>0.06772588722239777</v>
      </c>
      <c r="G34" s="1">
        <f t="shared" si="6"/>
        <v>0.400797295294138</v>
      </c>
      <c r="H34" s="3">
        <f t="shared" si="8"/>
        <v>0.06772588722239781</v>
      </c>
      <c r="I34" s="3">
        <f t="shared" si="2"/>
        <v>0</v>
      </c>
      <c r="J34" s="41">
        <f t="shared" si="3"/>
        <v>0.028281710675662812</v>
      </c>
    </row>
    <row r="35" spans="1:10" ht="12.75">
      <c r="A35" s="1">
        <v>27</v>
      </c>
      <c r="B35" s="1">
        <f t="shared" si="4"/>
        <v>13.5</v>
      </c>
      <c r="C35" s="1">
        <f t="shared" si="1"/>
        <v>0.400797295294138</v>
      </c>
      <c r="D35" s="3">
        <f t="shared" si="0"/>
        <v>0.06772588722239781</v>
      </c>
      <c r="E35" s="1">
        <f t="shared" si="5"/>
        <v>0.9667039885161239</v>
      </c>
      <c r="F35" s="3">
        <f t="shared" si="7"/>
        <v>0.06772588722239777</v>
      </c>
      <c r="G35" s="1">
        <f t="shared" si="6"/>
        <v>0.3874523439473179</v>
      </c>
      <c r="H35" s="3">
        <f t="shared" si="8"/>
        <v>0.06772588722239782</v>
      </c>
      <c r="I35" s="3">
        <f t="shared" si="2"/>
        <v>0</v>
      </c>
      <c r="J35" s="41">
        <f t="shared" si="3"/>
        <v>0.028323609506293423</v>
      </c>
    </row>
    <row r="36" spans="1:10" ht="12.75">
      <c r="A36" s="1">
        <v>28</v>
      </c>
      <c r="B36" s="1">
        <f t="shared" si="4"/>
        <v>14</v>
      </c>
      <c r="C36" s="1">
        <f t="shared" si="1"/>
        <v>0.3874523439473179</v>
      </c>
      <c r="D36" s="3">
        <f t="shared" si="0"/>
        <v>0.06772588722239781</v>
      </c>
      <c r="E36" s="1">
        <f t="shared" si="5"/>
        <v>0.9667039885161238</v>
      </c>
      <c r="F36" s="3">
        <f t="shared" si="7"/>
        <v>0.06772588722239799</v>
      </c>
      <c r="G36" s="1">
        <f t="shared" si="6"/>
        <v>0.3745517262537933</v>
      </c>
      <c r="H36" s="3">
        <f t="shared" si="8"/>
        <v>0.06772588722239781</v>
      </c>
      <c r="I36" s="3">
        <f t="shared" si="2"/>
        <v>0</v>
      </c>
      <c r="J36" s="41">
        <f t="shared" si="3"/>
        <v>0.028362515563307555</v>
      </c>
    </row>
    <row r="37" spans="1:10" ht="12.75">
      <c r="A37" s="1">
        <v>29</v>
      </c>
      <c r="B37" s="1">
        <f t="shared" si="4"/>
        <v>14.5</v>
      </c>
      <c r="C37" s="1">
        <f t="shared" si="1"/>
        <v>0.3745517262537933</v>
      </c>
      <c r="D37" s="3">
        <f t="shared" si="0"/>
        <v>0.06772588722239781</v>
      </c>
      <c r="E37" s="1">
        <f t="shared" si="5"/>
        <v>0.966703988516124</v>
      </c>
      <c r="F37" s="3">
        <f t="shared" si="7"/>
        <v>0.06772588722239753</v>
      </c>
      <c r="G37" s="1">
        <f t="shared" si="6"/>
        <v>0.3620806476751414</v>
      </c>
      <c r="H37" s="3">
        <f t="shared" si="8"/>
        <v>0.06772588722239782</v>
      </c>
      <c r="I37" s="3">
        <f t="shared" si="2"/>
        <v>0</v>
      </c>
      <c r="J37" s="41">
        <f t="shared" si="3"/>
        <v>0.028398738443975897</v>
      </c>
    </row>
    <row r="38" spans="1:10" ht="12.75">
      <c r="A38" s="1">
        <v>30</v>
      </c>
      <c r="B38" s="1">
        <f t="shared" si="4"/>
        <v>15</v>
      </c>
      <c r="C38" s="1">
        <f t="shared" si="1"/>
        <v>0.3620806476751414</v>
      </c>
      <c r="D38" s="3">
        <f t="shared" si="0"/>
        <v>0.06772588722239781</v>
      </c>
      <c r="E38" s="1">
        <f t="shared" si="5"/>
        <v>0.9667039885161239</v>
      </c>
      <c r="F38" s="3">
        <f t="shared" si="7"/>
        <v>0.06772588722239777</v>
      </c>
      <c r="G38" s="1">
        <f t="shared" si="6"/>
        <v>0.3500248062720606</v>
      </c>
      <c r="H38" s="3">
        <f t="shared" si="8"/>
        <v>0.06772588722239781</v>
      </c>
      <c r="I38" s="3">
        <f t="shared" si="2"/>
        <v>0</v>
      </c>
      <c r="J38" s="41">
        <f t="shared" si="3"/>
        <v>0.02843254646593301</v>
      </c>
    </row>
    <row r="39" spans="1:10" ht="12.75">
      <c r="A39" s="1">
        <v>31</v>
      </c>
      <c r="B39" s="1">
        <f t="shared" si="4"/>
        <v>15.5</v>
      </c>
      <c r="C39" s="1">
        <f t="shared" si="1"/>
        <v>0.3500248062720606</v>
      </c>
      <c r="D39" s="3">
        <f t="shared" si="0"/>
        <v>0.06772588722239781</v>
      </c>
      <c r="E39" s="1">
        <f t="shared" si="5"/>
        <v>0.9667039885161238</v>
      </c>
      <c r="F39" s="3">
        <f t="shared" si="7"/>
        <v>0.06772588722239799</v>
      </c>
      <c r="G39" s="1">
        <f t="shared" si="6"/>
        <v>0.33837037630278455</v>
      </c>
      <c r="H39" s="3">
        <f t="shared" si="8"/>
        <v>0.0677258872223978</v>
      </c>
      <c r="I39" s="3">
        <f t="shared" si="2"/>
        <v>0</v>
      </c>
      <c r="J39" s="41">
        <f t="shared" si="3"/>
        <v>0.02846417332518321</v>
      </c>
    </row>
    <row r="40" spans="1:10" ht="12.75">
      <c r="A40" s="1">
        <v>32</v>
      </c>
      <c r="B40" s="1">
        <f t="shared" si="4"/>
        <v>16</v>
      </c>
      <c r="C40" s="1">
        <f t="shared" si="1"/>
        <v>0.33837037630278455</v>
      </c>
      <c r="D40" s="3">
        <f t="shared" si="0"/>
        <v>0.06772588722239781</v>
      </c>
      <c r="E40" s="1">
        <f t="shared" si="5"/>
        <v>0.9667039885161239</v>
      </c>
      <c r="F40" s="3">
        <f t="shared" si="7"/>
        <v>0.06772588722239777</v>
      </c>
      <c r="G40" s="1">
        <f t="shared" si="6"/>
        <v>0.32710399236760357</v>
      </c>
      <c r="H40" s="3">
        <f t="shared" si="8"/>
        <v>0.06772588722239781</v>
      </c>
      <c r="I40" s="3">
        <f t="shared" si="2"/>
        <v>0</v>
      </c>
      <c r="J40" s="41">
        <f t="shared" si="3"/>
        <v>0.028493823505730282</v>
      </c>
    </row>
    <row r="41" spans="1:10" ht="12.75">
      <c r="A41" s="1">
        <v>33</v>
      </c>
      <c r="B41" s="1">
        <f t="shared" si="4"/>
        <v>16.5</v>
      </c>
      <c r="C41" s="1">
        <f t="shared" si="1"/>
        <v>0.32710399236760357</v>
      </c>
      <c r="D41" s="3">
        <f t="shared" si="0"/>
        <v>0.06772588722239781</v>
      </c>
      <c r="E41" s="1">
        <f t="shared" si="5"/>
        <v>0.9667039885161239</v>
      </c>
      <c r="F41" s="3">
        <f t="shared" si="7"/>
        <v>0.06772588722239777</v>
      </c>
      <c r="G41" s="1">
        <f t="shared" si="6"/>
        <v>0.3162127340813101</v>
      </c>
      <c r="H41" s="3">
        <f t="shared" si="8"/>
        <v>0.06772588722239781</v>
      </c>
      <c r="I41" s="3">
        <f t="shared" si="2"/>
        <v>0</v>
      </c>
      <c r="J41" s="41">
        <f t="shared" si="3"/>
        <v>0.02852167670563813</v>
      </c>
    </row>
    <row r="42" spans="1:10" ht="12.75">
      <c r="A42" s="1">
        <v>34</v>
      </c>
      <c r="B42" s="1">
        <f t="shared" si="4"/>
        <v>17</v>
      </c>
      <c r="C42" s="1">
        <f t="shared" si="1"/>
        <v>0.3162127340813101</v>
      </c>
      <c r="D42" s="3">
        <f t="shared" si="0"/>
        <v>0.06772588722239781</v>
      </c>
      <c r="E42" s="1">
        <f t="shared" si="5"/>
        <v>0.9667039885161239</v>
      </c>
      <c r="F42" s="3">
        <f t="shared" si="7"/>
        <v>0.06772588722239777</v>
      </c>
      <c r="G42" s="1">
        <f t="shared" si="6"/>
        <v>0.305684111255991</v>
      </c>
      <c r="H42" s="3">
        <f t="shared" si="8"/>
        <v>0.06772588722239781</v>
      </c>
      <c r="I42" s="3">
        <f t="shared" si="2"/>
        <v>0</v>
      </c>
      <c r="J42" s="41">
        <f t="shared" si="3"/>
        <v>0.028547891482021987</v>
      </c>
    </row>
    <row r="43" spans="1:10" ht="12.75">
      <c r="A43" s="1">
        <v>35</v>
      </c>
      <c r="B43" s="1">
        <f t="shared" si="4"/>
        <v>17.5</v>
      </c>
      <c r="C43" s="1">
        <f t="shared" si="1"/>
        <v>0.305684111255991</v>
      </c>
      <c r="D43" s="3">
        <f t="shared" si="0"/>
        <v>0.06772588722239781</v>
      </c>
      <c r="E43" s="1">
        <f t="shared" si="5"/>
        <v>0.9667039885161238</v>
      </c>
      <c r="F43" s="3">
        <f t="shared" si="7"/>
        <v>0.06772588722239799</v>
      </c>
      <c r="G43" s="1">
        <f t="shared" si="6"/>
        <v>0.295506049577173</v>
      </c>
      <c r="H43" s="3">
        <f t="shared" si="8"/>
        <v>0.06772588722239781</v>
      </c>
      <c r="I43" s="3">
        <f t="shared" si="2"/>
        <v>0</v>
      </c>
      <c r="J43" s="41">
        <f t="shared" si="3"/>
        <v>0.028572608271183908</v>
      </c>
    </row>
    <row r="44" spans="1:10" ht="12.75">
      <c r="A44" s="1">
        <v>36</v>
      </c>
      <c r="B44" s="1">
        <f t="shared" si="4"/>
        <v>18</v>
      </c>
      <c r="C44" s="1">
        <f t="shared" si="1"/>
        <v>0.295506049577173</v>
      </c>
      <c r="D44" s="3">
        <f t="shared" si="0"/>
        <v>0.06772588722239781</v>
      </c>
      <c r="E44" s="1">
        <f t="shared" si="5"/>
        <v>0.9667039885161239</v>
      </c>
      <c r="F44" s="3">
        <f t="shared" si="7"/>
        <v>0.06772588722239777</v>
      </c>
      <c r="G44" s="1">
        <f t="shared" si="6"/>
        <v>0.2856668767568966</v>
      </c>
      <c r="H44" s="3">
        <f t="shared" si="8"/>
        <v>0.06772588722239781</v>
      </c>
      <c r="I44" s="3">
        <f t="shared" si="2"/>
        <v>0</v>
      </c>
      <c r="J44" s="41">
        <f t="shared" si="3"/>
        <v>0.028595951905392394</v>
      </c>
    </row>
    <row r="45" spans="1:10" ht="12.75">
      <c r="A45" s="1">
        <v>37</v>
      </c>
      <c r="B45" s="1">
        <f t="shared" si="4"/>
        <v>18.5</v>
      </c>
      <c r="C45" s="1">
        <f t="shared" si="1"/>
        <v>0.2856668767568966</v>
      </c>
      <c r="D45" s="3">
        <f t="shared" si="0"/>
        <v>0.06772588722239781</v>
      </c>
      <c r="E45" s="1">
        <f t="shared" si="5"/>
        <v>0.9667039885161239</v>
      </c>
      <c r="F45" s="3">
        <f t="shared" si="7"/>
        <v>0.06772588722239777</v>
      </c>
      <c r="G45" s="1">
        <f t="shared" si="6"/>
        <v>0.276155309147836</v>
      </c>
      <c r="H45" s="3">
        <f t="shared" si="8"/>
        <v>0.06772588722239781</v>
      </c>
      <c r="I45" s="3">
        <f t="shared" si="2"/>
        <v>0</v>
      </c>
      <c r="J45" s="41">
        <f t="shared" si="3"/>
        <v>0.028618033721535555</v>
      </c>
    </row>
    <row r="46" spans="1:10" ht="12.75">
      <c r="A46" s="1">
        <v>38</v>
      </c>
      <c r="B46" s="1">
        <f t="shared" si="4"/>
        <v>19</v>
      </c>
      <c r="C46" s="1">
        <f t="shared" si="1"/>
        <v>0.276155309147836</v>
      </c>
      <c r="D46" s="3">
        <f t="shared" si="0"/>
        <v>0.06772588722239781</v>
      </c>
      <c r="E46" s="1">
        <f t="shared" si="5"/>
        <v>0.966703988516124</v>
      </c>
      <c r="F46" s="3">
        <f t="shared" si="7"/>
        <v>0.06772588722239753</v>
      </c>
      <c r="G46" s="1">
        <f t="shared" si="6"/>
        <v>0.2669604388031163</v>
      </c>
      <c r="H46" s="3">
        <f t="shared" si="8"/>
        <v>0.06772588722239781</v>
      </c>
      <c r="I46" s="3">
        <f t="shared" si="2"/>
        <v>0</v>
      </c>
      <c r="J46" s="41">
        <f t="shared" si="3"/>
        <v>0.02863895333682908</v>
      </c>
    </row>
    <row r="47" spans="1:10" ht="12.75">
      <c r="A47" s="1">
        <v>39</v>
      </c>
      <c r="B47" s="1">
        <f t="shared" si="4"/>
        <v>19.5</v>
      </c>
      <c r="C47" s="1">
        <f t="shared" si="1"/>
        <v>0.2669604388031163</v>
      </c>
      <c r="D47" s="3">
        <f t="shared" si="0"/>
        <v>0.06772588722239781</v>
      </c>
      <c r="E47" s="1">
        <f t="shared" si="5"/>
        <v>0.9667039885161237</v>
      </c>
      <c r="F47" s="3">
        <f t="shared" si="7"/>
        <v>0.06772588722239822</v>
      </c>
      <c r="G47" s="1">
        <f t="shared" si="6"/>
        <v>0.2580717209669871</v>
      </c>
      <c r="H47" s="3">
        <f t="shared" si="8"/>
        <v>0.06772588722239781</v>
      </c>
      <c r="I47" s="3">
        <f t="shared" si="2"/>
        <v>0</v>
      </c>
      <c r="J47" s="41">
        <f t="shared" si="3"/>
        <v>0.0286588001513383</v>
      </c>
    </row>
    <row r="48" spans="1:10" ht="12.75">
      <c r="A48" s="1">
        <v>40</v>
      </c>
      <c r="B48" s="1">
        <f t="shared" si="4"/>
        <v>20</v>
      </c>
      <c r="C48" s="1">
        <f t="shared" si="1"/>
        <v>0.2580717209669871</v>
      </c>
      <c r="D48" s="3">
        <f t="shared" si="0"/>
        <v>0.06772588722239781</v>
      </c>
      <c r="E48" s="1">
        <f>G48/C48</f>
        <v>0.9667039885161239</v>
      </c>
      <c r="F48" s="3">
        <f>IF(B48=0,1,-LN(E48)/$B$9)</f>
        <v>0.06772588722239777</v>
      </c>
      <c r="G48" s="1">
        <f>EXP(-D49*B49)</f>
        <v>0.24947896198200664</v>
      </c>
      <c r="H48" s="3">
        <f>-LN(C48)/B48</f>
        <v>0.06772588722239781</v>
      </c>
      <c r="I48" s="3">
        <f t="shared" si="2"/>
        <v>0</v>
      </c>
      <c r="J48" s="41">
        <f t="shared" si="3"/>
        <v>0.028677654625122083</v>
      </c>
    </row>
    <row r="49" spans="1:10" ht="12.75">
      <c r="A49" s="1">
        <v>41</v>
      </c>
      <c r="B49" s="1">
        <f t="shared" si="4"/>
        <v>20.5</v>
      </c>
      <c r="C49" s="1">
        <f t="shared" si="1"/>
        <v>0.24947896198200664</v>
      </c>
      <c r="D49" s="3">
        <f t="shared" si="0"/>
        <v>0.06772588722239781</v>
      </c>
      <c r="E49" s="1"/>
      <c r="F49" s="1"/>
      <c r="G49" s="1"/>
      <c r="H49" s="1"/>
      <c r="I49" s="1"/>
      <c r="J49" s="1"/>
    </row>
    <row r="50" spans="1:8" ht="12.75">
      <c r="A50" s="37"/>
      <c r="B50" s="37"/>
      <c r="C50" s="37"/>
      <c r="D50" s="39"/>
      <c r="E50" s="37"/>
      <c r="F50" s="37"/>
      <c r="G50" s="37"/>
      <c r="H50" s="37"/>
    </row>
    <row r="51" spans="1:8" ht="12.75">
      <c r="A51" s="37"/>
      <c r="B51" s="37"/>
      <c r="C51" s="37"/>
      <c r="D51" s="39"/>
      <c r="E51" s="37"/>
      <c r="F51" s="37"/>
      <c r="G51" s="37"/>
      <c r="H51" s="37"/>
    </row>
    <row r="52" spans="1:8" ht="12.75">
      <c r="A52" s="37"/>
      <c r="B52" s="37"/>
      <c r="C52" s="37"/>
      <c r="D52" s="39"/>
      <c r="E52" s="37"/>
      <c r="F52" s="37"/>
      <c r="G52" s="37"/>
      <c r="H52" s="37"/>
    </row>
    <row r="53" spans="1:8" ht="12.75">
      <c r="A53" s="37"/>
      <c r="B53" s="37"/>
      <c r="C53" s="37"/>
      <c r="D53" s="39"/>
      <c r="E53" s="37"/>
      <c r="F53" s="37"/>
      <c r="G53" s="37"/>
      <c r="H53" s="37"/>
    </row>
    <row r="54" spans="1:8" ht="12.75">
      <c r="A54" s="37"/>
      <c r="B54" s="37"/>
      <c r="C54" s="37"/>
      <c r="D54" s="39"/>
      <c r="E54" s="37"/>
      <c r="F54" s="37"/>
      <c r="G54" s="37"/>
      <c r="H54" s="37"/>
    </row>
    <row r="55" spans="1:8" ht="12.75">
      <c r="A55" s="37"/>
      <c r="B55" s="37"/>
      <c r="C55" s="37"/>
      <c r="D55" s="39"/>
      <c r="E55" s="37"/>
      <c r="F55" s="37"/>
      <c r="G55" s="37"/>
      <c r="H55" s="37"/>
    </row>
    <row r="56" spans="1:8" ht="12.75">
      <c r="A56" s="37"/>
      <c r="B56" s="37"/>
      <c r="C56" s="37"/>
      <c r="D56" s="39"/>
      <c r="E56" s="37"/>
      <c r="F56" s="37"/>
      <c r="G56" s="37"/>
      <c r="H56" s="37"/>
    </row>
    <row r="57" spans="1:8" ht="12.75">
      <c r="A57" s="37"/>
      <c r="B57" s="37"/>
      <c r="C57" s="37"/>
      <c r="D57" s="39"/>
      <c r="E57" s="37"/>
      <c r="F57" s="37"/>
      <c r="G57" s="37"/>
      <c r="H57" s="37"/>
    </row>
    <row r="58" spans="1:8" ht="12.75">
      <c r="A58" s="37"/>
      <c r="B58" s="37"/>
      <c r="C58" s="37"/>
      <c r="D58" s="39"/>
      <c r="E58" s="37"/>
      <c r="F58" s="37"/>
      <c r="G58" s="37"/>
      <c r="H58" s="37"/>
    </row>
    <row r="59" spans="1:8" ht="12.75">
      <c r="A59" s="37"/>
      <c r="B59" s="37"/>
      <c r="C59" s="37"/>
      <c r="D59" s="39"/>
      <c r="E59" s="37"/>
      <c r="F59" s="37"/>
      <c r="G59" s="37"/>
      <c r="H59" s="37"/>
    </row>
    <row r="60" spans="1:8" ht="12.75">
      <c r="A60" s="37"/>
      <c r="B60" s="37"/>
      <c r="C60" s="37"/>
      <c r="D60" s="39"/>
      <c r="E60" s="37"/>
      <c r="F60" s="37"/>
      <c r="G60" s="37"/>
      <c r="H60" s="37"/>
    </row>
    <row r="61" spans="1:8" ht="12.75">
      <c r="A61" s="37"/>
      <c r="B61" s="37"/>
      <c r="C61" s="37"/>
      <c r="D61" s="39"/>
      <c r="E61" s="37"/>
      <c r="F61" s="37"/>
      <c r="G61" s="37"/>
      <c r="H61" s="37"/>
    </row>
    <row r="62" spans="1:8" ht="12.75">
      <c r="A62" s="37"/>
      <c r="B62" s="37"/>
      <c r="C62" s="37"/>
      <c r="D62" s="39"/>
      <c r="E62" s="37"/>
      <c r="F62" s="37"/>
      <c r="G62" s="37"/>
      <c r="H62" s="37"/>
    </row>
    <row r="63" spans="1:8" ht="12.75">
      <c r="A63" s="37"/>
      <c r="B63" s="37"/>
      <c r="C63" s="37"/>
      <c r="D63" s="39"/>
      <c r="E63" s="37"/>
      <c r="F63" s="37"/>
      <c r="G63" s="37"/>
      <c r="H63" s="37"/>
    </row>
    <row r="64" spans="1:8" ht="12.75">
      <c r="A64" s="37"/>
      <c r="B64" s="37"/>
      <c r="C64" s="37"/>
      <c r="D64" s="39"/>
      <c r="E64" s="37"/>
      <c r="F64" s="37"/>
      <c r="G64" s="37"/>
      <c r="H64" s="37"/>
    </row>
    <row r="65" spans="1:8" ht="12.75">
      <c r="A65" s="37"/>
      <c r="B65" s="37"/>
      <c r="C65" s="37"/>
      <c r="D65" s="39"/>
      <c r="E65" s="37"/>
      <c r="F65" s="37"/>
      <c r="G65" s="37"/>
      <c r="H65" s="37"/>
    </row>
    <row r="66" spans="1:8" ht="12.75">
      <c r="A66" s="37"/>
      <c r="B66" s="37"/>
      <c r="C66" s="37"/>
      <c r="D66" s="39"/>
      <c r="E66" s="37"/>
      <c r="F66" s="37"/>
      <c r="G66" s="37"/>
      <c r="H66" s="37"/>
    </row>
    <row r="67" spans="1:8" ht="12.75">
      <c r="A67" s="37"/>
      <c r="B67" s="37"/>
      <c r="C67" s="37"/>
      <c r="D67" s="39"/>
      <c r="E67" s="37"/>
      <c r="F67" s="37"/>
      <c r="G67" s="37"/>
      <c r="H67" s="37"/>
    </row>
    <row r="68" spans="1:8" ht="12.75">
      <c r="A68" s="37"/>
      <c r="B68" s="37"/>
      <c r="C68" s="37"/>
      <c r="D68" s="39"/>
      <c r="E68" s="37"/>
      <c r="F68" s="37"/>
      <c r="G68" s="37"/>
      <c r="H68" s="37"/>
    </row>
    <row r="69" spans="1:8" ht="12.75">
      <c r="A69" s="37"/>
      <c r="B69" s="37"/>
      <c r="C69" s="37"/>
      <c r="D69" s="39"/>
      <c r="E69" s="37"/>
      <c r="F69" s="37"/>
      <c r="G69" s="37"/>
      <c r="H69" s="37"/>
    </row>
    <row r="70" spans="1:8" ht="12.75">
      <c r="A70" s="37"/>
      <c r="B70" s="37"/>
      <c r="C70" s="37"/>
      <c r="D70" s="39"/>
      <c r="E70" s="37"/>
      <c r="F70" s="37"/>
      <c r="G70" s="37"/>
      <c r="H70" s="37"/>
    </row>
    <row r="71" spans="1:8" ht="12.75">
      <c r="A71" s="37"/>
      <c r="B71" s="37"/>
      <c r="C71" s="37"/>
      <c r="D71" s="39"/>
      <c r="E71" s="37"/>
      <c r="F71" s="37"/>
      <c r="G71" s="37"/>
      <c r="H71" s="37"/>
    </row>
    <row r="72" spans="1:8" ht="12.75">
      <c r="A72" s="37"/>
      <c r="B72" s="37"/>
      <c r="C72" s="37"/>
      <c r="D72" s="39"/>
      <c r="E72" s="37"/>
      <c r="F72" s="37"/>
      <c r="G72" s="37"/>
      <c r="H72" s="37"/>
    </row>
    <row r="73" spans="1:8" ht="12.75">
      <c r="A73" s="37"/>
      <c r="B73" s="37"/>
      <c r="C73" s="37"/>
      <c r="D73" s="39"/>
      <c r="E73" s="37"/>
      <c r="F73" s="37"/>
      <c r="G73" s="37"/>
      <c r="H73" s="37"/>
    </row>
    <row r="74" spans="1:8" ht="12.75">
      <c r="A74" s="37"/>
      <c r="B74" s="37"/>
      <c r="C74" s="37"/>
      <c r="D74" s="39"/>
      <c r="E74" s="37"/>
      <c r="F74" s="37"/>
      <c r="G74" s="37"/>
      <c r="H74" s="37"/>
    </row>
    <row r="75" spans="1:8" ht="12.75">
      <c r="A75" s="37"/>
      <c r="B75" s="37"/>
      <c r="C75" s="37"/>
      <c r="D75" s="39"/>
      <c r="E75" s="37"/>
      <c r="F75" s="37"/>
      <c r="G75" s="37"/>
      <c r="H75" s="37"/>
    </row>
    <row r="76" spans="1:8" ht="12.75">
      <c r="A76" s="37"/>
      <c r="B76" s="37"/>
      <c r="C76" s="37"/>
      <c r="D76" s="39"/>
      <c r="E76" s="37"/>
      <c r="F76" s="37"/>
      <c r="G76" s="37"/>
      <c r="H76" s="37"/>
    </row>
    <row r="77" spans="1:8" ht="12.75">
      <c r="A77" s="37"/>
      <c r="B77" s="37"/>
      <c r="C77" s="37"/>
      <c r="D77" s="39"/>
      <c r="E77" s="37"/>
      <c r="F77" s="37"/>
      <c r="G77" s="37"/>
      <c r="H77" s="37"/>
    </row>
    <row r="78" spans="1:8" ht="12.75">
      <c r="A78" s="37"/>
      <c r="B78" s="37"/>
      <c r="C78" s="37"/>
      <c r="D78" s="39"/>
      <c r="E78" s="37"/>
      <c r="F78" s="37"/>
      <c r="G78" s="37"/>
      <c r="H78" s="37"/>
    </row>
    <row r="79" spans="1:8" ht="12.75">
      <c r="A79" s="37"/>
      <c r="B79" s="37"/>
      <c r="C79" s="37"/>
      <c r="D79" s="39"/>
      <c r="E79" s="37"/>
      <c r="F79" s="37"/>
      <c r="G79" s="37"/>
      <c r="H79" s="37"/>
    </row>
    <row r="80" spans="1:8" ht="12.75">
      <c r="A80" s="37"/>
      <c r="B80" s="37"/>
      <c r="C80" s="37"/>
      <c r="D80" s="39"/>
      <c r="E80" s="37"/>
      <c r="F80" s="37"/>
      <c r="G80" s="37"/>
      <c r="H80" s="37"/>
    </row>
    <row r="81" spans="1:8" ht="12.75">
      <c r="A81" s="37"/>
      <c r="B81" s="37"/>
      <c r="C81" s="37"/>
      <c r="D81" s="39"/>
      <c r="E81" s="37"/>
      <c r="F81" s="37"/>
      <c r="G81" s="37"/>
      <c r="H81" s="37"/>
    </row>
    <row r="82" spans="1:8" ht="12.75">
      <c r="A82" s="37"/>
      <c r="B82" s="37"/>
      <c r="C82" s="37"/>
      <c r="D82" s="39"/>
      <c r="E82" s="37"/>
      <c r="F82" s="37"/>
      <c r="G82" s="37"/>
      <c r="H82" s="37"/>
    </row>
    <row r="83" spans="1:3" ht="12.75">
      <c r="A83" s="37"/>
      <c r="B83" s="37"/>
      <c r="C83" s="37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2"/>
  <dimension ref="A1:AF132"/>
  <sheetViews>
    <sheetView workbookViewId="0" topLeftCell="A5">
      <selection activeCell="D13" sqref="D13"/>
    </sheetView>
  </sheetViews>
  <sheetFormatPr defaultColWidth="11.421875" defaultRowHeight="12.75"/>
  <sheetData>
    <row r="1" spans="1:32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ht="12.75">
      <c r="A2" s="37" t="s">
        <v>138</v>
      </c>
      <c r="B2" s="37"/>
      <c r="C2" s="37"/>
      <c r="D2" s="37"/>
      <c r="E2" s="37"/>
      <c r="F2" s="37"/>
      <c r="G2" s="37"/>
      <c r="H2" s="37"/>
      <c r="I2" s="37"/>
      <c r="J2" s="37"/>
      <c r="K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12.75">
      <c r="A3" s="37" t="s">
        <v>139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2" t="s">
        <v>167</v>
      </c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2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>
        <v>100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</row>
    <row r="5" spans="1:32" ht="12.75">
      <c r="A5" s="37"/>
      <c r="B5" s="32"/>
      <c r="C5" s="32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7"/>
      <c r="N5" s="37" t="s">
        <v>165</v>
      </c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</row>
    <row r="6" spans="1:32" ht="12.75">
      <c r="A6" s="37"/>
      <c r="B6" s="32" t="s">
        <v>140</v>
      </c>
      <c r="C6" s="40">
        <v>0.03</v>
      </c>
      <c r="D6" s="40">
        <v>0</v>
      </c>
      <c r="E6" s="40">
        <v>0</v>
      </c>
      <c r="F6" s="40">
        <v>0</v>
      </c>
      <c r="G6" s="40">
        <v>0.03</v>
      </c>
      <c r="H6" s="40">
        <v>0.03</v>
      </c>
      <c r="I6" s="40">
        <v>0.03</v>
      </c>
      <c r="J6" s="40">
        <v>0.03</v>
      </c>
      <c r="K6" s="40">
        <v>0.03</v>
      </c>
      <c r="L6" s="40">
        <v>0.03</v>
      </c>
      <c r="M6" s="37"/>
      <c r="N6" s="37" t="s">
        <v>166</v>
      </c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ht="12.75">
      <c r="A7" s="37"/>
      <c r="B7" s="32" t="s">
        <v>141</v>
      </c>
      <c r="C7" s="40">
        <v>0</v>
      </c>
      <c r="D7" s="40">
        <v>-0.02</v>
      </c>
      <c r="E7" s="40">
        <v>0</v>
      </c>
      <c r="F7" s="40">
        <v>0</v>
      </c>
      <c r="G7" s="40">
        <v>-0.02</v>
      </c>
      <c r="H7" s="40">
        <v>-0.02</v>
      </c>
      <c r="I7" s="40">
        <v>-0.02</v>
      </c>
      <c r="J7" s="40">
        <v>-0.02</v>
      </c>
      <c r="K7" s="40">
        <v>-0.02</v>
      </c>
      <c r="L7" s="40">
        <v>-0.02</v>
      </c>
      <c r="M7" s="37"/>
      <c r="N7" s="67" t="s">
        <v>168</v>
      </c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</row>
    <row r="8" spans="1:32" ht="12.75">
      <c r="A8" s="37"/>
      <c r="B8" s="32" t="s">
        <v>142</v>
      </c>
      <c r="C8" s="40">
        <v>0</v>
      </c>
      <c r="D8" s="40">
        <v>0</v>
      </c>
      <c r="E8" s="40">
        <v>0.03</v>
      </c>
      <c r="F8" s="40">
        <v>0.03</v>
      </c>
      <c r="G8" s="40">
        <v>0</v>
      </c>
      <c r="H8" s="40">
        <v>0.01</v>
      </c>
      <c r="I8" s="40">
        <v>0.02</v>
      </c>
      <c r="J8" s="40">
        <v>0.03</v>
      </c>
      <c r="K8" s="40">
        <v>0.04</v>
      </c>
      <c r="L8" s="40">
        <v>0.05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</row>
    <row r="9" spans="1:32" ht="12.75">
      <c r="A9" s="37"/>
      <c r="B9" s="32" t="s">
        <v>143</v>
      </c>
      <c r="C9" s="31">
        <v>1</v>
      </c>
      <c r="D9" s="31">
        <v>1</v>
      </c>
      <c r="E9" s="31">
        <v>1</v>
      </c>
      <c r="F9" s="31">
        <v>2</v>
      </c>
      <c r="G9" s="31">
        <v>1</v>
      </c>
      <c r="H9" s="31">
        <v>1</v>
      </c>
      <c r="I9" s="31">
        <v>1</v>
      </c>
      <c r="J9" s="31">
        <v>1</v>
      </c>
      <c r="K9" s="31">
        <v>1</v>
      </c>
      <c r="L9" s="31">
        <v>1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32" ht="12.75">
      <c r="A10" s="37"/>
      <c r="B10" s="30" t="s">
        <v>144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</row>
    <row r="11" spans="1:32" ht="12.75">
      <c r="A11" s="37"/>
      <c r="B11" s="31">
        <f>1/12</f>
        <v>0.08333333333333333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1:32" s="92" customFormat="1" ht="12.75">
      <c r="A12" s="44" t="s">
        <v>32</v>
      </c>
      <c r="B12" s="44" t="s">
        <v>214</v>
      </c>
      <c r="C12" s="44" t="s">
        <v>151</v>
      </c>
      <c r="D12" s="44" t="s">
        <v>152</v>
      </c>
      <c r="E12" s="44" t="s">
        <v>153</v>
      </c>
      <c r="F12" s="44" t="s">
        <v>154</v>
      </c>
      <c r="G12" s="44" t="s">
        <v>145</v>
      </c>
      <c r="H12" s="44" t="s">
        <v>146</v>
      </c>
      <c r="I12" s="44" t="s">
        <v>147</v>
      </c>
      <c r="J12" s="44" t="s">
        <v>148</v>
      </c>
      <c r="K12" s="44" t="s">
        <v>149</v>
      </c>
      <c r="L12" s="44" t="s">
        <v>150</v>
      </c>
      <c r="M12" s="44" t="s">
        <v>155</v>
      </c>
      <c r="N12" s="44" t="s">
        <v>156</v>
      </c>
      <c r="O12" s="44" t="s">
        <v>157</v>
      </c>
      <c r="P12" s="44" t="s">
        <v>158</v>
      </c>
      <c r="Q12" s="44" t="s">
        <v>159</v>
      </c>
      <c r="R12" s="44" t="s">
        <v>160</v>
      </c>
      <c r="S12" s="44" t="s">
        <v>161</v>
      </c>
      <c r="T12" s="44" t="s">
        <v>162</v>
      </c>
      <c r="U12" s="44" t="s">
        <v>163</v>
      </c>
      <c r="V12" s="44" t="s">
        <v>164</v>
      </c>
      <c r="W12" s="44" t="s">
        <v>169</v>
      </c>
      <c r="X12" s="44" t="s">
        <v>170</v>
      </c>
      <c r="Y12" s="44" t="s">
        <v>171</v>
      </c>
      <c r="Z12" s="44" t="s">
        <v>172</v>
      </c>
      <c r="AA12" s="44" t="s">
        <v>173</v>
      </c>
      <c r="AB12" s="44" t="s">
        <v>174</v>
      </c>
      <c r="AC12" s="44" t="s">
        <v>175</v>
      </c>
      <c r="AD12" s="44" t="s">
        <v>176</v>
      </c>
      <c r="AE12" s="44" t="s">
        <v>177</v>
      </c>
      <c r="AF12" s="44" t="s">
        <v>178</v>
      </c>
    </row>
    <row r="13" spans="1:32" ht="12.75">
      <c r="A13">
        <v>1</v>
      </c>
      <c r="B13">
        <f>A13*$B$11</f>
        <v>0.08333333333333333</v>
      </c>
      <c r="C13">
        <f aca="true" t="shared" si="0" ref="C13:F32">C$6+C$7*((1-EXP(-$B13/C$9))/($B13/C$9))+C$8*((1-EXP(-$B13/C$9))/($B13/C$9)-EXP(-$B13/C$9))</f>
        <v>0.03</v>
      </c>
      <c r="D13">
        <f t="shared" si="0"/>
        <v>-0.01918934048896241</v>
      </c>
      <c r="E13">
        <f t="shared" si="0"/>
        <v>0.0011826782945639157</v>
      </c>
      <c r="F13">
        <f t="shared" si="0"/>
        <v>0.0006079071681463755</v>
      </c>
      <c r="G13">
        <f aca="true" t="shared" si="1" ref="G13:L28">G$6+G$7*((1-EXP(-$B13/G$9))/($B13/G$9))+G$8*((1-EXP(-$B13/G$9))/($B13/G$9)-EXP(-$B13/G$9))</f>
        <v>0.010810659511037587</v>
      </c>
      <c r="H13">
        <f t="shared" si="1"/>
        <v>0.01120488560922556</v>
      </c>
      <c r="I13">
        <f t="shared" si="1"/>
        <v>0.011599111707413531</v>
      </c>
      <c r="J13">
        <f t="shared" si="1"/>
        <v>0.011993337805601504</v>
      </c>
      <c r="K13">
        <f t="shared" si="1"/>
        <v>0.012387563903789475</v>
      </c>
      <c r="L13" s="1">
        <f t="shared" si="1"/>
        <v>0.012781790001977447</v>
      </c>
      <c r="M13">
        <f>C13</f>
        <v>0.03</v>
      </c>
      <c r="N13" s="1">
        <f>D13</f>
        <v>-0.01918934048896241</v>
      </c>
      <c r="O13" s="1">
        <f aca="true" t="shared" si="2" ref="O13:V13">E13</f>
        <v>0.0011826782945639157</v>
      </c>
      <c r="P13" s="1">
        <f t="shared" si="2"/>
        <v>0.0006079071681463755</v>
      </c>
      <c r="Q13" s="1">
        <f t="shared" si="2"/>
        <v>0.010810659511037587</v>
      </c>
      <c r="R13" s="1">
        <f t="shared" si="2"/>
        <v>0.01120488560922556</v>
      </c>
      <c r="S13" s="1">
        <f t="shared" si="2"/>
        <v>0.011599111707413531</v>
      </c>
      <c r="T13" s="1">
        <f t="shared" si="2"/>
        <v>0.011993337805601504</v>
      </c>
      <c r="U13" s="1">
        <f t="shared" si="2"/>
        <v>0.012387563903789475</v>
      </c>
      <c r="V13" s="1">
        <f t="shared" si="2"/>
        <v>0.012781790001977447</v>
      </c>
      <c r="W13" s="45">
        <f>EXP(-C13*$B13)</f>
        <v>0.9975031223974601</v>
      </c>
      <c r="X13" s="45">
        <f aca="true" t="shared" si="3" ref="X13:AF13">EXP(-D13*$B13)</f>
        <v>1.0016003909683429</v>
      </c>
      <c r="Y13" s="45">
        <f t="shared" si="3"/>
        <v>0.9999014483319877</v>
      </c>
      <c r="Z13" s="45">
        <f t="shared" si="3"/>
        <v>0.9999493423524631</v>
      </c>
      <c r="AA13" s="45">
        <f t="shared" si="3"/>
        <v>0.9990995173854387</v>
      </c>
      <c r="AB13" s="45">
        <f t="shared" si="3"/>
        <v>0.9990666953325429</v>
      </c>
      <c r="AC13" s="45">
        <f t="shared" si="3"/>
        <v>0.9990338743579051</v>
      </c>
      <c r="AD13" s="45">
        <f t="shared" si="3"/>
        <v>0.9990010544614901</v>
      </c>
      <c r="AE13" s="45">
        <f t="shared" si="3"/>
        <v>0.9989682356432623</v>
      </c>
      <c r="AF13" s="45">
        <f t="shared" si="3"/>
        <v>0.9989354179031864</v>
      </c>
    </row>
    <row r="14" spans="1:32" ht="12.75">
      <c r="A14">
        <v>2</v>
      </c>
      <c r="B14">
        <f aca="true" t="shared" si="4" ref="B14:B77">A14*$B$11</f>
        <v>0.16666666666666666</v>
      </c>
      <c r="C14">
        <f t="shared" si="0"/>
        <v>0.03</v>
      </c>
      <c r="D14">
        <f t="shared" si="0"/>
        <v>-0.018422193013126305</v>
      </c>
      <c r="E14">
        <f t="shared" si="0"/>
        <v>0.0022388377729710327</v>
      </c>
      <c r="F14">
        <f t="shared" si="0"/>
        <v>0.0011826782945639157</v>
      </c>
      <c r="G14">
        <f t="shared" si="1"/>
        <v>0.011577806986873693</v>
      </c>
      <c r="H14">
        <f t="shared" si="1"/>
        <v>0.012324086244530704</v>
      </c>
      <c r="I14">
        <f t="shared" si="1"/>
        <v>0.013070365502187715</v>
      </c>
      <c r="J14">
        <f t="shared" si="1"/>
        <v>0.013816644759844727</v>
      </c>
      <c r="K14">
        <f t="shared" si="1"/>
        <v>0.014562924017501738</v>
      </c>
      <c r="L14">
        <f aca="true" t="shared" si="5" ref="L14:L45">IF($A14&gt;$L$4,L13,L$6+L$7*((1-EXP(-$B14/L$9))/($B14/L$9))+L$8*((1-EXP(-$B14/L$9))/($B14/L$9)-EXP(-$B14/L$9)))</f>
        <v>0.015309203275158749</v>
      </c>
      <c r="M14">
        <f>(C14*$B14-C13*$B13)/($B14-$B13)</f>
        <v>0.029999999999999995</v>
      </c>
      <c r="N14">
        <f aca="true" t="shared" si="6" ref="N14:V14">(D14*$B14-D13*$B13)/($B14-$B13)</f>
        <v>-0.0176550455372902</v>
      </c>
      <c r="O14">
        <f t="shared" si="6"/>
        <v>0.0032949972513781497</v>
      </c>
      <c r="P14">
        <f t="shared" si="6"/>
        <v>0.0017574494209814558</v>
      </c>
      <c r="Q14">
        <f t="shared" si="6"/>
        <v>0.012344954462709801</v>
      </c>
      <c r="R14">
        <f t="shared" si="6"/>
        <v>0.013443286879835847</v>
      </c>
      <c r="S14">
        <f t="shared" si="6"/>
        <v>0.014541619296961896</v>
      </c>
      <c r="T14">
        <f t="shared" si="6"/>
        <v>0.01563995171408795</v>
      </c>
      <c r="U14">
        <f t="shared" si="6"/>
        <v>0.016738284131214</v>
      </c>
      <c r="V14">
        <f t="shared" si="6"/>
        <v>0.01783661654834005</v>
      </c>
      <c r="W14" s="45">
        <f aca="true" t="shared" si="7" ref="W14:W77">EXP(-C14*$B14)</f>
        <v>0.9950124791926823</v>
      </c>
      <c r="X14" s="45">
        <f aca="true" t="shared" si="8" ref="X14:X77">EXP(-D14*$B14)</f>
        <v>1.0030750839021811</v>
      </c>
      <c r="Y14" s="45">
        <f aca="true" t="shared" si="9" ref="Y14:Y77">EXP(-E14*$B14)</f>
        <v>0.9996269299791047</v>
      </c>
      <c r="Z14" s="45">
        <f aca="true" t="shared" si="10" ref="Z14:Z77">EXP(-F14*$B14)</f>
        <v>0.9998029063764067</v>
      </c>
      <c r="AA14" s="45">
        <f aca="true" t="shared" si="11" ref="AA14:AA77">EXP(-G14*$B14)</f>
        <v>0.9980722260499172</v>
      </c>
      <c r="AB14" s="45">
        <f aca="true" t="shared" si="12" ref="AB14:AB77">EXP(-H14*$B14)</f>
        <v>0.9979480936698715</v>
      </c>
      <c r="AC14" s="45">
        <f aca="true" t="shared" si="13" ref="AC14:AC77">EXP(-I14*$B14)</f>
        <v>0.9978239767284357</v>
      </c>
      <c r="AD14" s="45">
        <f aca="true" t="shared" si="14" ref="AD14:AD77">EXP(-J14*$B14)</f>
        <v>0.9976998752236897</v>
      </c>
      <c r="AE14" s="45">
        <f aca="true" t="shared" si="15" ref="AE14:AE77">EXP(-K14*$B14)</f>
        <v>0.9975757891537136</v>
      </c>
      <c r="AF14" s="45">
        <f aca="true" t="shared" si="16" ref="AF14:AF77">EXP(-L14*$B14)</f>
        <v>0.9974517185165878</v>
      </c>
    </row>
    <row r="15" spans="1:32" ht="12.75">
      <c r="A15">
        <v>3</v>
      </c>
      <c r="B15">
        <f t="shared" si="4"/>
        <v>0.25</v>
      </c>
      <c r="C15">
        <f t="shared" si="0"/>
        <v>0.03</v>
      </c>
      <c r="D15">
        <f t="shared" si="0"/>
        <v>-0.01769593735428761</v>
      </c>
      <c r="E15">
        <f t="shared" si="0"/>
        <v>0.003179882539289268</v>
      </c>
      <c r="F15">
        <f t="shared" si="0"/>
        <v>0.001725836302159227</v>
      </c>
      <c r="G15">
        <f t="shared" si="1"/>
        <v>0.012304062645712387</v>
      </c>
      <c r="H15">
        <f t="shared" si="1"/>
        <v>0.013364023492142144</v>
      </c>
      <c r="I15">
        <f t="shared" si="1"/>
        <v>0.0144239843385719</v>
      </c>
      <c r="J15">
        <f t="shared" si="1"/>
        <v>0.015483945185001655</v>
      </c>
      <c r="K15">
        <f t="shared" si="1"/>
        <v>0.01654390603143141</v>
      </c>
      <c r="L15">
        <f t="shared" si="5"/>
        <v>0.01760386687786117</v>
      </c>
      <c r="M15">
        <f aca="true" t="shared" si="17" ref="M15:M78">(C15*$B15-C14*$B14)/($B15-$B14)</f>
        <v>0.030000000000000002</v>
      </c>
      <c r="N15">
        <f aca="true" t="shared" si="18" ref="N15:N78">(D15*$B15-D14*$B14)/($B15-$B14)</f>
        <v>-0.016243426036610224</v>
      </c>
      <c r="O15">
        <f aca="true" t="shared" si="19" ref="O15:O78">(E15*$B15-E14*$B14)/($B15-$B14)</f>
        <v>0.0050619720719257385</v>
      </c>
      <c r="P15">
        <f aca="true" t="shared" si="20" ref="P15:P78">(F15*$B15-F14*$B14)/($B15-$B14)</f>
        <v>0.0028121523173498496</v>
      </c>
      <c r="Q15">
        <f aca="true" t="shared" si="21" ref="Q15:Q78">(G15*$B15-G14*$B14)/($B15-$B14)</f>
        <v>0.013756573963389774</v>
      </c>
      <c r="R15">
        <f aca="true" t="shared" si="22" ref="R15:R78">(H15*$B15-H14*$B14)/($B15-$B14)</f>
        <v>0.015443897987365023</v>
      </c>
      <c r="S15">
        <f aca="true" t="shared" si="23" ref="S15:S78">(I15*$B15-I14*$B14)/($B15-$B14)</f>
        <v>0.01713122201134027</v>
      </c>
      <c r="T15">
        <f aca="true" t="shared" si="24" ref="T15:T78">(J15*$B15-J14*$B14)/($B15-$B14)</f>
        <v>0.01881854603531551</v>
      </c>
      <c r="U15">
        <f aca="true" t="shared" si="25" ref="U15:U78">(K15*$B15-K14*$B14)/($B15-$B14)</f>
        <v>0.020505870059290755</v>
      </c>
      <c r="V15">
        <f aca="true" t="shared" si="26" ref="V15:V78">(L15*$B15-L14*$B14)/($B15-$B14)</f>
        <v>0.022193194083266008</v>
      </c>
      <c r="W15" s="45">
        <f t="shared" si="7"/>
        <v>0.9925280548191384</v>
      </c>
      <c r="X15" s="45">
        <f t="shared" si="8"/>
        <v>1.0044337846040299</v>
      </c>
      <c r="Y15" s="45">
        <f t="shared" si="9"/>
        <v>0.9992053452706154</v>
      </c>
      <c r="Z15" s="45">
        <f t="shared" si="10"/>
        <v>0.9995686339895421</v>
      </c>
      <c r="AA15" s="45">
        <f t="shared" si="11"/>
        <v>0.9969287104276633</v>
      </c>
      <c r="AB15" s="45">
        <f t="shared" si="12"/>
        <v>0.9966645690767114</v>
      </c>
      <c r="AC15" s="45">
        <f t="shared" si="13"/>
        <v>0.996400497711359</v>
      </c>
      <c r="AD15" s="45">
        <f t="shared" si="14"/>
        <v>0.9961364963130627</v>
      </c>
      <c r="AE15" s="45">
        <f t="shared" si="15"/>
        <v>0.9958725648632846</v>
      </c>
      <c r="AF15" s="45">
        <f t="shared" si="16"/>
        <v>0.9956087033434915</v>
      </c>
    </row>
    <row r="16" spans="1:32" ht="12.75">
      <c r="A16">
        <v>4</v>
      </c>
      <c r="B16">
        <f t="shared" si="4"/>
        <v>0.3333333333333333</v>
      </c>
      <c r="C16">
        <f t="shared" si="0"/>
        <v>0.03</v>
      </c>
      <c r="D16">
        <f t="shared" si="0"/>
        <v>-0.017008121365572643</v>
      </c>
      <c r="E16">
        <f t="shared" si="0"/>
        <v>0.004016242731145287</v>
      </c>
      <c r="F16">
        <f t="shared" si="0"/>
        <v>0.0022388377729710327</v>
      </c>
      <c r="G16">
        <f t="shared" si="1"/>
        <v>0.012991878634427356</v>
      </c>
      <c r="H16">
        <f t="shared" si="1"/>
        <v>0.014330626211475786</v>
      </c>
      <c r="I16">
        <f t="shared" si="1"/>
        <v>0.015669373788524215</v>
      </c>
      <c r="J16">
        <f t="shared" si="1"/>
        <v>0.017008121365572643</v>
      </c>
      <c r="K16">
        <f t="shared" si="1"/>
        <v>0.018346868942621074</v>
      </c>
      <c r="L16">
        <f t="shared" si="5"/>
        <v>0.0196856165196695</v>
      </c>
      <c r="M16">
        <f t="shared" si="17"/>
        <v>0.029999999999999992</v>
      </c>
      <c r="N16">
        <f t="shared" si="18"/>
        <v>-0.014944673399427736</v>
      </c>
      <c r="O16">
        <f t="shared" si="19"/>
        <v>0.006525323306713345</v>
      </c>
      <c r="P16">
        <f t="shared" si="20"/>
        <v>0.0037778421854064497</v>
      </c>
      <c r="Q16">
        <f t="shared" si="21"/>
        <v>0.015055326600572266</v>
      </c>
      <c r="R16">
        <f t="shared" si="22"/>
        <v>0.01723043436947671</v>
      </c>
      <c r="S16">
        <f t="shared" si="23"/>
        <v>0.01940554213838116</v>
      </c>
      <c r="T16">
        <f t="shared" si="24"/>
        <v>0.021580649907285605</v>
      </c>
      <c r="U16">
        <f t="shared" si="25"/>
        <v>0.023755757676190065</v>
      </c>
      <c r="V16">
        <f t="shared" si="26"/>
        <v>0.0259308654450945</v>
      </c>
      <c r="W16" s="45">
        <f t="shared" si="7"/>
        <v>0.9900498337491681</v>
      </c>
      <c r="X16" s="45">
        <f t="shared" si="8"/>
        <v>1.0056854751018414</v>
      </c>
      <c r="Y16" s="45">
        <f t="shared" si="9"/>
        <v>0.998662148145729</v>
      </c>
      <c r="Z16" s="45">
        <f t="shared" si="10"/>
        <v>0.9992539991394499</v>
      </c>
      <c r="AA16" s="45">
        <f t="shared" si="11"/>
        <v>0.9956787374285311</v>
      </c>
      <c r="AB16" s="45">
        <f t="shared" si="12"/>
        <v>0.9952345157202751</v>
      </c>
      <c r="AC16" s="45">
        <f t="shared" si="13"/>
        <v>0.9947904922013735</v>
      </c>
      <c r="AD16" s="45">
        <f t="shared" si="14"/>
        <v>0.9943466667834041</v>
      </c>
      <c r="AE16" s="45">
        <f t="shared" si="15"/>
        <v>0.9939030393779842</v>
      </c>
      <c r="AF16" s="45">
        <f t="shared" si="16"/>
        <v>0.9934596098967706</v>
      </c>
    </row>
    <row r="17" spans="1:32" ht="12.75">
      <c r="A17">
        <v>5</v>
      </c>
      <c r="B17">
        <f t="shared" si="4"/>
        <v>0.41666666666666663</v>
      </c>
      <c r="C17">
        <f t="shared" si="0"/>
        <v>0.03</v>
      </c>
      <c r="D17">
        <f t="shared" si="0"/>
        <v>-0.016356449750378702</v>
      </c>
      <c r="E17">
        <f t="shared" si="0"/>
        <v>0.0047574557195547386</v>
      </c>
      <c r="F17">
        <f t="shared" si="0"/>
        <v>0.0027230757697895057</v>
      </c>
      <c r="G17">
        <f t="shared" si="1"/>
        <v>0.013643550249621297</v>
      </c>
      <c r="H17">
        <f t="shared" si="1"/>
        <v>0.015229368822806209</v>
      </c>
      <c r="I17">
        <f t="shared" si="1"/>
        <v>0.016815187395991124</v>
      </c>
      <c r="J17">
        <f t="shared" si="1"/>
        <v>0.018401005969176036</v>
      </c>
      <c r="K17">
        <f t="shared" si="1"/>
        <v>0.019986824542360948</v>
      </c>
      <c r="L17">
        <f t="shared" si="5"/>
        <v>0.02157264311554586</v>
      </c>
      <c r="M17">
        <f t="shared" si="17"/>
        <v>0.030000000000000013</v>
      </c>
      <c r="N17">
        <f t="shared" si="18"/>
        <v>-0.013749763289602944</v>
      </c>
      <c r="O17">
        <f t="shared" si="19"/>
        <v>0.0077223076731925445</v>
      </c>
      <c r="P17">
        <f t="shared" si="20"/>
        <v>0.0046600277570633996</v>
      </c>
      <c r="Q17">
        <f t="shared" si="21"/>
        <v>0.01625023671039706</v>
      </c>
      <c r="R17">
        <f t="shared" si="22"/>
        <v>0.0188243392681279</v>
      </c>
      <c r="S17">
        <f t="shared" si="23"/>
        <v>0.021398441825858764</v>
      </c>
      <c r="T17">
        <f t="shared" si="24"/>
        <v>0.02397254438358961</v>
      </c>
      <c r="U17">
        <f t="shared" si="25"/>
        <v>0.026546646941320452</v>
      </c>
      <c r="V17">
        <f t="shared" si="26"/>
        <v>0.029120749499051295</v>
      </c>
      <c r="W17" s="45">
        <f t="shared" si="7"/>
        <v>0.9875778004938814</v>
      </c>
      <c r="X17" s="45">
        <f t="shared" si="8"/>
        <v>1.0068384636328733</v>
      </c>
      <c r="Y17" s="45">
        <f t="shared" si="9"/>
        <v>0.9980196901895213</v>
      </c>
      <c r="Z17" s="45">
        <f t="shared" si="10"/>
        <v>0.9988660285280391</v>
      </c>
      <c r="AA17" s="45">
        <f t="shared" si="11"/>
        <v>0.994331315367192</v>
      </c>
      <c r="AB17" s="45">
        <f t="shared" si="12"/>
        <v>0.9936745202707229</v>
      </c>
      <c r="AC17" s="45">
        <f t="shared" si="13"/>
        <v>0.9930181590133496</v>
      </c>
      <c r="AD17" s="45">
        <f t="shared" si="14"/>
        <v>0.9923622313085041</v>
      </c>
      <c r="AE17" s="45">
        <f t="shared" si="15"/>
        <v>0.9917067368698079</v>
      </c>
      <c r="AF17" s="45">
        <f t="shared" si="16"/>
        <v>0.9910516754110719</v>
      </c>
    </row>
    <row r="18" spans="1:32" ht="12.75">
      <c r="A18">
        <v>6</v>
      </c>
      <c r="B18">
        <f t="shared" si="4"/>
        <v>0.5</v>
      </c>
      <c r="C18">
        <f t="shared" si="0"/>
        <v>0.03</v>
      </c>
      <c r="D18">
        <f t="shared" si="0"/>
        <v>-0.015738773611494665</v>
      </c>
      <c r="E18">
        <f t="shared" si="0"/>
        <v>0.005412240625862991</v>
      </c>
      <c r="F18">
        <f t="shared" si="0"/>
        <v>0.003179882539289268</v>
      </c>
      <c r="G18">
        <f t="shared" si="1"/>
        <v>0.014261226388505334</v>
      </c>
      <c r="H18">
        <f t="shared" si="1"/>
        <v>0.016065306597126332</v>
      </c>
      <c r="I18">
        <f t="shared" si="1"/>
        <v>0.017869386805747327</v>
      </c>
      <c r="J18">
        <f t="shared" si="1"/>
        <v>0.019673467014368326</v>
      </c>
      <c r="K18">
        <f t="shared" si="1"/>
        <v>0.02147754722298932</v>
      </c>
      <c r="L18">
        <f t="shared" si="5"/>
        <v>0.023281627431610323</v>
      </c>
      <c r="M18">
        <f t="shared" si="17"/>
        <v>0.029999999999999992</v>
      </c>
      <c r="N18">
        <f t="shared" si="18"/>
        <v>-0.012650392917074477</v>
      </c>
      <c r="O18">
        <f t="shared" si="19"/>
        <v>0.008686165157404254</v>
      </c>
      <c r="P18">
        <f t="shared" si="20"/>
        <v>0.0054639163867880765</v>
      </c>
      <c r="Q18">
        <f t="shared" si="21"/>
        <v>0.017349607082925517</v>
      </c>
      <c r="R18">
        <f t="shared" si="22"/>
        <v>0.02024499546872695</v>
      </c>
      <c r="S18">
        <f t="shared" si="23"/>
        <v>0.023140383854528337</v>
      </c>
      <c r="T18">
        <f t="shared" si="24"/>
        <v>0.026035772240329776</v>
      </c>
      <c r="U18">
        <f t="shared" si="25"/>
        <v>0.02893116062613118</v>
      </c>
      <c r="V18">
        <f t="shared" si="26"/>
        <v>0.03182654901193264</v>
      </c>
      <c r="W18" s="45">
        <f t="shared" si="7"/>
        <v>0.9851119396030626</v>
      </c>
      <c r="X18" s="45">
        <f t="shared" si="8"/>
        <v>1.0079004318117184</v>
      </c>
      <c r="Y18" s="45">
        <f t="shared" si="9"/>
        <v>0.9972975379300166</v>
      </c>
      <c r="Z18" s="45">
        <f t="shared" si="10"/>
        <v>0.9984113220173697</v>
      </c>
      <c r="AA18" s="45">
        <f t="shared" si="11"/>
        <v>0.9928947493088063</v>
      </c>
      <c r="AB18" s="45">
        <f t="shared" si="12"/>
        <v>0.9919995222516266</v>
      </c>
      <c r="AC18" s="45">
        <f t="shared" si="13"/>
        <v>0.9911051023610518</v>
      </c>
      <c r="AD18" s="45">
        <f t="shared" si="14"/>
        <v>0.9902114889093137</v>
      </c>
      <c r="AE18" s="45">
        <f t="shared" si="15"/>
        <v>0.9893186811692999</v>
      </c>
      <c r="AF18" s="45">
        <f t="shared" si="16"/>
        <v>0.9884266784145541</v>
      </c>
    </row>
    <row r="19" spans="1:32" ht="12.75">
      <c r="A19">
        <v>7</v>
      </c>
      <c r="B19">
        <f t="shared" si="4"/>
        <v>0.5833333333333333</v>
      </c>
      <c r="C19">
        <f t="shared" si="0"/>
        <v>0.03</v>
      </c>
      <c r="D19">
        <f t="shared" si="0"/>
        <v>-0.01515308071645553</v>
      </c>
      <c r="E19">
        <f t="shared" si="0"/>
        <v>0.005988566701581881</v>
      </c>
      <c r="F19">
        <f t="shared" si="0"/>
        <v>0.003610532101613962</v>
      </c>
      <c r="G19">
        <f t="shared" si="1"/>
        <v>0.01484691928354447</v>
      </c>
      <c r="H19">
        <f t="shared" si="1"/>
        <v>0.016843108184071764</v>
      </c>
      <c r="I19">
        <f t="shared" si="1"/>
        <v>0.018839297084599055</v>
      </c>
      <c r="J19">
        <f t="shared" si="1"/>
        <v>0.02083548598512635</v>
      </c>
      <c r="K19">
        <f t="shared" si="1"/>
        <v>0.022831674885653644</v>
      </c>
      <c r="L19">
        <f t="shared" si="5"/>
        <v>0.02482786378618094</v>
      </c>
      <c r="M19">
        <f t="shared" si="17"/>
        <v>0.030000000000000013</v>
      </c>
      <c r="N19">
        <f t="shared" si="18"/>
        <v>-0.011638923346220718</v>
      </c>
      <c r="O19">
        <f t="shared" si="19"/>
        <v>0.00944652315589522</v>
      </c>
      <c r="P19">
        <f t="shared" si="20"/>
        <v>0.006194429475562127</v>
      </c>
      <c r="Q19">
        <f t="shared" si="21"/>
        <v>0.018361076653779295</v>
      </c>
      <c r="R19">
        <f t="shared" si="22"/>
        <v>0.02150991770574435</v>
      </c>
      <c r="S19">
        <f t="shared" si="23"/>
        <v>0.02465875875770942</v>
      </c>
      <c r="T19">
        <f t="shared" si="24"/>
        <v>0.027807599809674493</v>
      </c>
      <c r="U19">
        <f t="shared" si="25"/>
        <v>0.030956440861639588</v>
      </c>
      <c r="V19">
        <f t="shared" si="26"/>
        <v>0.03410528191360464</v>
      </c>
      <c r="W19" s="45">
        <f t="shared" si="7"/>
        <v>0.9826522356650732</v>
      </c>
      <c r="X19" s="45">
        <f t="shared" si="8"/>
        <v>1.0088784790329453</v>
      </c>
      <c r="Y19" s="45">
        <f t="shared" si="9"/>
        <v>0.9965127640044734</v>
      </c>
      <c r="Z19" s="45">
        <f t="shared" si="10"/>
        <v>0.9978960726384886</v>
      </c>
      <c r="AA19" s="45">
        <f t="shared" si="11"/>
        <v>0.9913766929361023</v>
      </c>
      <c r="AB19" s="45">
        <f t="shared" si="12"/>
        <v>0.9902229626221337</v>
      </c>
      <c r="AC19" s="45">
        <f t="shared" si="13"/>
        <v>0.9890705749800747</v>
      </c>
      <c r="AD19" s="45">
        <f t="shared" si="14"/>
        <v>0.9879195284473695</v>
      </c>
      <c r="AE19" s="45">
        <f t="shared" si="15"/>
        <v>0.9867698214632808</v>
      </c>
      <c r="AF19" s="45">
        <f t="shared" si="16"/>
        <v>0.985621452468888</v>
      </c>
    </row>
    <row r="20" spans="1:32" ht="12.75">
      <c r="A20">
        <v>8</v>
      </c>
      <c r="B20">
        <f t="shared" si="4"/>
        <v>0.6666666666666666</v>
      </c>
      <c r="C20">
        <f t="shared" si="0"/>
        <v>0.03</v>
      </c>
      <c r="D20">
        <f t="shared" si="0"/>
        <v>-0.01459748642902224</v>
      </c>
      <c r="E20">
        <f t="shared" si="0"/>
        <v>0.006493716072555599</v>
      </c>
      <c r="F20">
        <f t="shared" si="0"/>
        <v>0.004016242731145287</v>
      </c>
      <c r="G20">
        <f t="shared" si="1"/>
        <v>0.01540251357097776</v>
      </c>
      <c r="H20">
        <f t="shared" si="1"/>
        <v>0.01756708559516296</v>
      </c>
      <c r="I20">
        <f t="shared" si="1"/>
        <v>0.01973165761934816</v>
      </c>
      <c r="J20">
        <f t="shared" si="1"/>
        <v>0.021896229643533358</v>
      </c>
      <c r="K20">
        <f t="shared" si="1"/>
        <v>0.024060801667718557</v>
      </c>
      <c r="L20">
        <f t="shared" si="5"/>
        <v>0.02622537369190376</v>
      </c>
      <c r="M20">
        <f t="shared" si="17"/>
        <v>0.02999999999999997</v>
      </c>
      <c r="N20">
        <f t="shared" si="18"/>
        <v>-0.010708326416989206</v>
      </c>
      <c r="O20">
        <f t="shared" si="19"/>
        <v>0.010029761669371622</v>
      </c>
      <c r="P20">
        <f t="shared" si="20"/>
        <v>0.006856217137864561</v>
      </c>
      <c r="Q20">
        <f t="shared" si="21"/>
        <v>0.019291673583010788</v>
      </c>
      <c r="R20">
        <f t="shared" si="22"/>
        <v>0.022634927472801335</v>
      </c>
      <c r="S20">
        <f t="shared" si="23"/>
        <v>0.025978181362591887</v>
      </c>
      <c r="T20">
        <f t="shared" si="24"/>
        <v>0.029321435252382413</v>
      </c>
      <c r="U20">
        <f t="shared" si="25"/>
        <v>0.032664689142172944</v>
      </c>
      <c r="V20">
        <f t="shared" si="26"/>
        <v>0.036007943031963516</v>
      </c>
      <c r="W20" s="45">
        <f t="shared" si="7"/>
        <v>0.9801986733067553</v>
      </c>
      <c r="X20" s="45">
        <f t="shared" si="8"/>
        <v>1.0097791641801632</v>
      </c>
      <c r="Y20" s="45">
        <f t="shared" si="9"/>
        <v>0.9956802131879142</v>
      </c>
      <c r="Z20" s="45">
        <f t="shared" si="10"/>
        <v>0.9973260861390418</v>
      </c>
      <c r="AA20" s="45">
        <f t="shared" si="11"/>
        <v>0.9897841970622003</v>
      </c>
      <c r="AB20" s="45">
        <f t="shared" si="12"/>
        <v>0.9883569210018615</v>
      </c>
      <c r="AC20" s="45">
        <f t="shared" si="13"/>
        <v>0.9869317030840536</v>
      </c>
      <c r="AD20" s="45">
        <f t="shared" si="14"/>
        <v>0.9855085403409201</v>
      </c>
      <c r="AE20" s="45">
        <f t="shared" si="15"/>
        <v>0.9840874298088839</v>
      </c>
      <c r="AF20" s="45">
        <f t="shared" si="16"/>
        <v>0.9826683685286417</v>
      </c>
    </row>
    <row r="21" spans="1:32" ht="12.75">
      <c r="A21">
        <v>9</v>
      </c>
      <c r="B21">
        <f t="shared" si="4"/>
        <v>0.75</v>
      </c>
      <c r="C21">
        <f t="shared" si="0"/>
        <v>0.03</v>
      </c>
      <c r="D21">
        <f t="shared" si="0"/>
        <v>-0.014070225260239608</v>
      </c>
      <c r="E21">
        <f t="shared" si="0"/>
        <v>0.006934341308128971</v>
      </c>
      <c r="F21">
        <f t="shared" si="0"/>
        <v>0.004398179332993054</v>
      </c>
      <c r="G21">
        <f t="shared" si="1"/>
        <v>0.015929774739760393</v>
      </c>
      <c r="H21">
        <f t="shared" si="1"/>
        <v>0.01824122184247005</v>
      </c>
      <c r="I21">
        <f t="shared" si="1"/>
        <v>0.02055266894517971</v>
      </c>
      <c r="J21">
        <f t="shared" si="1"/>
        <v>0.022864116047889363</v>
      </c>
      <c r="K21">
        <f t="shared" si="1"/>
        <v>0.025175563150599024</v>
      </c>
      <c r="L21">
        <f t="shared" si="5"/>
        <v>0.02748701025330868</v>
      </c>
      <c r="M21">
        <f t="shared" si="17"/>
        <v>0.030000000000000013</v>
      </c>
      <c r="N21">
        <f t="shared" si="18"/>
        <v>-0.009852135909978564</v>
      </c>
      <c r="O21">
        <f t="shared" si="19"/>
        <v>0.010459343192715952</v>
      </c>
      <c r="P21">
        <f t="shared" si="20"/>
        <v>0.007453672147775184</v>
      </c>
      <c r="Q21">
        <f t="shared" si="21"/>
        <v>0.020147864090021447</v>
      </c>
      <c r="R21">
        <f t="shared" si="22"/>
        <v>0.023634311820926766</v>
      </c>
      <c r="S21">
        <f t="shared" si="23"/>
        <v>0.027120759551832106</v>
      </c>
      <c r="T21">
        <f t="shared" si="24"/>
        <v>0.0306072072827374</v>
      </c>
      <c r="U21">
        <f t="shared" si="25"/>
        <v>0.03409365501364278</v>
      </c>
      <c r="V21">
        <f t="shared" si="26"/>
        <v>0.037580102744548</v>
      </c>
      <c r="W21" s="45">
        <f t="shared" si="7"/>
        <v>0.9777512371933363</v>
      </c>
      <c r="X21" s="45">
        <f t="shared" si="8"/>
        <v>1.0106085447293685</v>
      </c>
      <c r="Y21" s="45">
        <f t="shared" si="9"/>
        <v>0.9948127445358528</v>
      </c>
      <c r="Z21" s="45">
        <f t="shared" si="10"/>
        <v>0.9967068000178987</v>
      </c>
      <c r="AA21" s="45">
        <f t="shared" si="11"/>
        <v>0.9881237549272972</v>
      </c>
      <c r="AB21" s="45">
        <f t="shared" si="12"/>
        <v>0.9864122420399142</v>
      </c>
      <c r="AC21" s="45">
        <f t="shared" si="13"/>
        <v>0.984703693635825</v>
      </c>
      <c r="AD21" s="45">
        <f t="shared" si="14"/>
        <v>0.9829981045802969</v>
      </c>
      <c r="AE21" s="45">
        <f t="shared" si="15"/>
        <v>0.981295469747491</v>
      </c>
      <c r="AF21" s="45">
        <f t="shared" si="16"/>
        <v>0.9795957840204467</v>
      </c>
    </row>
    <row r="22" spans="1:32" ht="12.75">
      <c r="A22">
        <v>10</v>
      </c>
      <c r="B22">
        <f t="shared" si="4"/>
        <v>0.8333333333333333</v>
      </c>
      <c r="C22">
        <f t="shared" si="0"/>
        <v>0.03</v>
      </c>
      <c r="D22">
        <f t="shared" si="0"/>
        <v>-0.013569642995830123</v>
      </c>
      <c r="E22">
        <f t="shared" si="0"/>
        <v>0.007316518238532836</v>
      </c>
      <c r="F22">
        <f t="shared" si="0"/>
        <v>0.0047574557195547386</v>
      </c>
      <c r="G22">
        <f t="shared" si="1"/>
        <v>0.016430357004169876</v>
      </c>
      <c r="H22">
        <f t="shared" si="1"/>
        <v>0.018869196417014154</v>
      </c>
      <c r="I22">
        <f t="shared" si="1"/>
        <v>0.021308035829858435</v>
      </c>
      <c r="J22">
        <f t="shared" si="1"/>
        <v>0.023746875242702713</v>
      </c>
      <c r="K22">
        <f t="shared" si="1"/>
        <v>0.02618571465554699</v>
      </c>
      <c r="L22">
        <f t="shared" si="5"/>
        <v>0.02862455406839127</v>
      </c>
      <c r="M22">
        <f t="shared" si="17"/>
        <v>0.030000000000000013</v>
      </c>
      <c r="N22">
        <f t="shared" si="18"/>
        <v>-0.009064402616144747</v>
      </c>
      <c r="O22">
        <f t="shared" si="19"/>
        <v>0.010756110612167621</v>
      </c>
      <c r="P22">
        <f t="shared" si="20"/>
        <v>0.007990943198609905</v>
      </c>
      <c r="Q22">
        <f t="shared" si="21"/>
        <v>0.020935597383855222</v>
      </c>
      <c r="R22">
        <f t="shared" si="22"/>
        <v>0.02452096758791108</v>
      </c>
      <c r="S22">
        <f t="shared" si="23"/>
        <v>0.028106337791966998</v>
      </c>
      <c r="T22">
        <f t="shared" si="24"/>
        <v>0.031691707996022875</v>
      </c>
      <c r="U22">
        <f t="shared" si="25"/>
        <v>0.03527707820007867</v>
      </c>
      <c r="V22">
        <f t="shared" si="26"/>
        <v>0.03886244840413459</v>
      </c>
      <c r="W22" s="45">
        <f t="shared" si="7"/>
        <v>0.9753099120283327</v>
      </c>
      <c r="X22" s="45">
        <f t="shared" si="8"/>
        <v>1.0113722133461112</v>
      </c>
      <c r="Y22" s="45">
        <f t="shared" si="9"/>
        <v>0.9939214510544451</v>
      </c>
      <c r="Z22" s="45">
        <f t="shared" si="10"/>
        <v>0.996043302005988</v>
      </c>
      <c r="AA22" s="45">
        <f t="shared" si="11"/>
        <v>0.9864013444264959</v>
      </c>
      <c r="AB22" s="45">
        <f t="shared" si="12"/>
        <v>0.9843986514888116</v>
      </c>
      <c r="AC22" s="45">
        <f t="shared" si="13"/>
        <v>0.9824000246232443</v>
      </c>
      <c r="AD22" s="45">
        <f t="shared" si="14"/>
        <v>0.9804054555744383</v>
      </c>
      <c r="AE22" s="45">
        <f t="shared" si="15"/>
        <v>0.9784149361037986</v>
      </c>
      <c r="AF22" s="45">
        <f t="shared" si="16"/>
        <v>0.9764284579894575</v>
      </c>
    </row>
    <row r="23" spans="1:32" ht="12.75">
      <c r="A23">
        <v>11</v>
      </c>
      <c r="B23">
        <f t="shared" si="4"/>
        <v>0.9166666666666666</v>
      </c>
      <c r="C23">
        <f t="shared" si="0"/>
        <v>0.03</v>
      </c>
      <c r="D23">
        <f t="shared" si="0"/>
        <v>-0.013094189359748787</v>
      </c>
      <c r="E23">
        <f t="shared" si="0"/>
        <v>0.007645794409277758</v>
      </c>
      <c r="F23">
        <f t="shared" si="0"/>
        <v>0.005095136791312525</v>
      </c>
      <c r="G23">
        <f t="shared" si="1"/>
        <v>0.016905810640251213</v>
      </c>
      <c r="H23">
        <f t="shared" si="1"/>
        <v>0.019454408776677132</v>
      </c>
      <c r="I23">
        <f t="shared" si="1"/>
        <v>0.022003006913103054</v>
      </c>
      <c r="J23">
        <f t="shared" si="1"/>
        <v>0.024551605049528972</v>
      </c>
      <c r="K23">
        <f t="shared" si="1"/>
        <v>0.027100203185954894</v>
      </c>
      <c r="L23">
        <f t="shared" si="5"/>
        <v>0.029648801322380812</v>
      </c>
      <c r="M23">
        <f t="shared" si="17"/>
        <v>0.02999999999999997</v>
      </c>
      <c r="N23">
        <f t="shared" si="18"/>
        <v>-0.00833965299893544</v>
      </c>
      <c r="O23">
        <f t="shared" si="19"/>
        <v>0.010938556116726976</v>
      </c>
      <c r="P23">
        <f t="shared" si="20"/>
        <v>0.008471947508890392</v>
      </c>
      <c r="Q23">
        <f t="shared" si="21"/>
        <v>0.021660347001064593</v>
      </c>
      <c r="R23">
        <f t="shared" si="22"/>
        <v>0.025306532373306937</v>
      </c>
      <c r="S23">
        <f t="shared" si="23"/>
        <v>0.028952717745549236</v>
      </c>
      <c r="T23">
        <f t="shared" si="24"/>
        <v>0.03259890311779154</v>
      </c>
      <c r="U23">
        <f t="shared" si="25"/>
        <v>0.036245088490033925</v>
      </c>
      <c r="V23">
        <f t="shared" si="26"/>
        <v>0.03989127386227626</v>
      </c>
      <c r="W23" s="45">
        <f t="shared" si="7"/>
        <v>0.972874682553454</v>
      </c>
      <c r="X23" s="45">
        <f t="shared" si="8"/>
        <v>1.0120753320840796</v>
      </c>
      <c r="Y23" s="45">
        <f t="shared" si="9"/>
        <v>0.9930158583979901</v>
      </c>
      <c r="Z23" s="45">
        <f t="shared" si="10"/>
        <v>0.9953403479621611</v>
      </c>
      <c r="AA23" s="45">
        <f t="shared" si="11"/>
        <v>0.9846224674214806</v>
      </c>
      <c r="AB23" s="45">
        <f t="shared" si="12"/>
        <v>0.9823248625791319</v>
      </c>
      <c r="AC23" s="45">
        <f t="shared" si="13"/>
        <v>0.9800326191704152</v>
      </c>
      <c r="AD23" s="45">
        <f t="shared" si="14"/>
        <v>0.9777457246844886</v>
      </c>
      <c r="AE23" s="45">
        <f t="shared" si="15"/>
        <v>0.9754641666397044</v>
      </c>
      <c r="AF23" s="45">
        <f t="shared" si="16"/>
        <v>0.9731879325835403</v>
      </c>
    </row>
    <row r="24" spans="1:32" ht="12.75">
      <c r="A24">
        <v>12</v>
      </c>
      <c r="B24">
        <f t="shared" si="4"/>
        <v>1</v>
      </c>
      <c r="C24">
        <f t="shared" si="0"/>
        <v>0.03</v>
      </c>
      <c r="D24">
        <f t="shared" si="0"/>
        <v>-0.012642411176571153</v>
      </c>
      <c r="E24">
        <f t="shared" si="0"/>
        <v>0.00792723352971346</v>
      </c>
      <c r="F24">
        <f t="shared" si="0"/>
        <v>0.005412240625862991</v>
      </c>
      <c r="G24">
        <f t="shared" si="1"/>
        <v>0.017357588823428846</v>
      </c>
      <c r="H24">
        <f t="shared" si="1"/>
        <v>0.02</v>
      </c>
      <c r="I24">
        <f t="shared" si="1"/>
        <v>0.022642411176571155</v>
      </c>
      <c r="J24">
        <f t="shared" si="1"/>
        <v>0.025284822353142306</v>
      </c>
      <c r="K24">
        <f t="shared" si="1"/>
        <v>0.02792723352971346</v>
      </c>
      <c r="L24">
        <f t="shared" si="5"/>
        <v>0.030569644706284614</v>
      </c>
      <c r="M24">
        <f t="shared" si="17"/>
        <v>0.030000000000000013</v>
      </c>
      <c r="N24">
        <f t="shared" si="18"/>
        <v>-0.007672851161617169</v>
      </c>
      <c r="O24">
        <f t="shared" si="19"/>
        <v>0.011023063854506172</v>
      </c>
      <c r="P24">
        <f t="shared" si="20"/>
        <v>0.008900382805918115</v>
      </c>
      <c r="Q24">
        <f t="shared" si="21"/>
        <v>0.022327148838382802</v>
      </c>
      <c r="R24">
        <f t="shared" si="22"/>
        <v>0.026001503456551545</v>
      </c>
      <c r="S24">
        <f t="shared" si="23"/>
        <v>0.029675858074720243</v>
      </c>
      <c r="T24">
        <f t="shared" si="24"/>
        <v>0.033350212692888986</v>
      </c>
      <c r="U24">
        <f t="shared" si="25"/>
        <v>0.03702456731105769</v>
      </c>
      <c r="V24">
        <f t="shared" si="26"/>
        <v>0.040698921929226424</v>
      </c>
      <c r="W24" s="45">
        <f t="shared" si="7"/>
        <v>0.9704455335485082</v>
      </c>
      <c r="X24" s="45">
        <f t="shared" si="8"/>
        <v>1.0127226642977993</v>
      </c>
      <c r="Y24" s="45">
        <f t="shared" si="9"/>
        <v>0.9921041041243629</v>
      </c>
      <c r="Z24" s="45">
        <f t="shared" si="10"/>
        <v>0.994602379161273</v>
      </c>
      <c r="AA24" s="45">
        <f t="shared" si="11"/>
        <v>0.9827921862911446</v>
      </c>
      <c r="AB24" s="45">
        <f t="shared" si="12"/>
        <v>0.9801986733067553</v>
      </c>
      <c r="AC24" s="45">
        <f t="shared" si="13"/>
        <v>0.9776120044036418</v>
      </c>
      <c r="AD24" s="45">
        <f t="shared" si="14"/>
        <v>0.9750321615208</v>
      </c>
      <c r="AE24" s="45">
        <f t="shared" si="15"/>
        <v>0.9724591266448875</v>
      </c>
      <c r="AF24" s="45">
        <f t="shared" si="16"/>
        <v>0.9698928818100977</v>
      </c>
    </row>
    <row r="25" spans="1:32" ht="12.75">
      <c r="A25">
        <v>13</v>
      </c>
      <c r="B25">
        <f t="shared" si="4"/>
        <v>1.0833333333333333</v>
      </c>
      <c r="C25">
        <f t="shared" si="0"/>
        <v>0.03</v>
      </c>
      <c r="D25">
        <f t="shared" si="0"/>
        <v>-0.012212945998029374</v>
      </c>
      <c r="E25">
        <f t="shared" si="0"/>
        <v>0.008165456243841795</v>
      </c>
      <c r="F25">
        <f t="shared" si="0"/>
        <v>0.0057097404790086735</v>
      </c>
      <c r="G25">
        <f t="shared" si="1"/>
        <v>0.017787054001970625</v>
      </c>
      <c r="H25">
        <f t="shared" si="1"/>
        <v>0.02050887274991789</v>
      </c>
      <c r="I25">
        <f t="shared" si="1"/>
        <v>0.023230691497865157</v>
      </c>
      <c r="J25">
        <f t="shared" si="1"/>
        <v>0.02595251024581242</v>
      </c>
      <c r="K25">
        <f t="shared" si="1"/>
        <v>0.028674328993759685</v>
      </c>
      <c r="L25">
        <f t="shared" si="5"/>
        <v>0.03139614774170695</v>
      </c>
      <c r="M25">
        <f t="shared" si="17"/>
        <v>0.02999999999999997</v>
      </c>
      <c r="N25">
        <f t="shared" si="18"/>
        <v>-0.0070593638555280286</v>
      </c>
      <c r="O25">
        <f t="shared" si="19"/>
        <v>0.011024128813381825</v>
      </c>
      <c r="P25">
        <f t="shared" si="20"/>
        <v>0.009279738716756863</v>
      </c>
      <c r="Q25">
        <f t="shared" si="21"/>
        <v>0.022940636144471983</v>
      </c>
      <c r="R25">
        <f t="shared" si="22"/>
        <v>0.02661534574893255</v>
      </c>
      <c r="S25">
        <f t="shared" si="23"/>
        <v>0.0302900553533932</v>
      </c>
      <c r="T25">
        <f t="shared" si="24"/>
        <v>0.033964764957853805</v>
      </c>
      <c r="U25">
        <f t="shared" si="25"/>
        <v>0.037639474562314375</v>
      </c>
      <c r="V25">
        <f t="shared" si="26"/>
        <v>0.04131418416677502</v>
      </c>
      <c r="W25" s="45">
        <f t="shared" si="7"/>
        <v>0.968022449831306</v>
      </c>
      <c r="X25" s="45">
        <f t="shared" si="8"/>
        <v>1.0133186043848605</v>
      </c>
      <c r="Y25" s="45">
        <f t="shared" si="9"/>
        <v>0.9911930990283189</v>
      </c>
      <c r="Z25" s="45">
        <f t="shared" si="10"/>
        <v>0.9938335389589555</v>
      </c>
      <c r="AA25" s="45">
        <f t="shared" si="11"/>
        <v>0.9809151578762727</v>
      </c>
      <c r="AB25" s="45">
        <f t="shared" si="12"/>
        <v>0.97802705524616</v>
      </c>
      <c r="AC25" s="45">
        <f t="shared" si="13"/>
        <v>0.9751474560393403</v>
      </c>
      <c r="AD25" s="45">
        <f t="shared" si="14"/>
        <v>0.9722763352192354</v>
      </c>
      <c r="AE25" s="45">
        <f t="shared" si="15"/>
        <v>0.9694136678229821</v>
      </c>
      <c r="AF25" s="45">
        <f t="shared" si="16"/>
        <v>0.966559428961215</v>
      </c>
    </row>
    <row r="26" spans="1:32" ht="12.75">
      <c r="A26">
        <v>14</v>
      </c>
      <c r="B26">
        <f t="shared" si="4"/>
        <v>1.1666666666666665</v>
      </c>
      <c r="C26">
        <f t="shared" si="0"/>
        <v>0.03</v>
      </c>
      <c r="D26">
        <f t="shared" si="0"/>
        <v>-0.011804516161464041</v>
      </c>
      <c r="E26">
        <f t="shared" si="0"/>
        <v>0.008364677524758128</v>
      </c>
      <c r="F26">
        <f t="shared" si="0"/>
        <v>0.005988566701581881</v>
      </c>
      <c r="G26">
        <f t="shared" si="1"/>
        <v>0.018195483838535958</v>
      </c>
      <c r="H26">
        <f t="shared" si="1"/>
        <v>0.020983709680122</v>
      </c>
      <c r="I26">
        <f t="shared" si="1"/>
        <v>0.023771935521708042</v>
      </c>
      <c r="J26">
        <f t="shared" si="1"/>
        <v>0.026560161363294088</v>
      </c>
      <c r="K26">
        <f t="shared" si="1"/>
        <v>0.02934838720488013</v>
      </c>
      <c r="L26">
        <f t="shared" si="5"/>
        <v>0.03213661304646617</v>
      </c>
      <c r="M26">
        <f t="shared" si="17"/>
        <v>0.030000000000000054</v>
      </c>
      <c r="N26">
        <f t="shared" si="18"/>
        <v>-0.0064949282861146975</v>
      </c>
      <c r="O26">
        <f t="shared" si="19"/>
        <v>0.010954554176670458</v>
      </c>
      <c r="P26">
        <f t="shared" si="20"/>
        <v>0.009613307595033578</v>
      </c>
      <c r="Q26">
        <f t="shared" si="21"/>
        <v>0.023505071713885294</v>
      </c>
      <c r="R26">
        <f t="shared" si="22"/>
        <v>0.027156589772775446</v>
      </c>
      <c r="S26">
        <f t="shared" si="23"/>
        <v>0.030808107831665557</v>
      </c>
      <c r="T26">
        <f t="shared" si="24"/>
        <v>0.03445962589055579</v>
      </c>
      <c r="U26">
        <f t="shared" si="25"/>
        <v>0.038111143949445946</v>
      </c>
      <c r="V26">
        <f t="shared" si="26"/>
        <v>0.04176266200833601</v>
      </c>
      <c r="W26" s="45">
        <f t="shared" si="7"/>
        <v>0.9656054162575665</v>
      </c>
      <c r="X26" s="45">
        <f t="shared" si="8"/>
        <v>1.0138672054738707</v>
      </c>
      <c r="Y26" s="45">
        <f t="shared" si="9"/>
        <v>0.9902886720323287</v>
      </c>
      <c r="Z26" s="45">
        <f t="shared" si="10"/>
        <v>0.9930376888238354</v>
      </c>
      <c r="AA26" s="45">
        <f t="shared" si="11"/>
        <v>0.9789956649714925</v>
      </c>
      <c r="AB26" s="45">
        <f t="shared" si="12"/>
        <v>0.9758162344938763</v>
      </c>
      <c r="AC26" s="45">
        <f t="shared" si="13"/>
        <v>0.9726471296780825</v>
      </c>
      <c r="AD26" s="45">
        <f t="shared" si="14"/>
        <v>0.9694883169900259</v>
      </c>
      <c r="AE26" s="45">
        <f t="shared" si="15"/>
        <v>0.9663397630045284</v>
      </c>
      <c r="AF26" s="45">
        <f t="shared" si="16"/>
        <v>0.9632014344049646</v>
      </c>
    </row>
    <row r="27" spans="1:32" ht="12.75">
      <c r="A27">
        <v>15</v>
      </c>
      <c r="B27">
        <f t="shared" si="4"/>
        <v>1.25</v>
      </c>
      <c r="C27">
        <f t="shared" si="0"/>
        <v>0.03</v>
      </c>
      <c r="D27">
        <f t="shared" si="0"/>
        <v>-0.011415923250236958</v>
      </c>
      <c r="E27">
        <f t="shared" si="0"/>
        <v>0.008528740969549732</v>
      </c>
      <c r="F27">
        <f t="shared" si="0"/>
        <v>0.006249608575518757</v>
      </c>
      <c r="G27">
        <f t="shared" si="1"/>
        <v>0.01858407674976304</v>
      </c>
      <c r="H27">
        <f t="shared" si="1"/>
        <v>0.021426990406279618</v>
      </c>
      <c r="I27">
        <f t="shared" si="1"/>
        <v>0.024269904062796197</v>
      </c>
      <c r="J27">
        <f t="shared" si="1"/>
        <v>0.027112817719312773</v>
      </c>
      <c r="K27">
        <f t="shared" si="1"/>
        <v>0.029955731375829353</v>
      </c>
      <c r="L27">
        <f t="shared" si="5"/>
        <v>0.03279864503234593</v>
      </c>
      <c r="M27">
        <f t="shared" si="17"/>
        <v>0.029999999999999975</v>
      </c>
      <c r="N27">
        <f t="shared" si="18"/>
        <v>-0.005975622493057806</v>
      </c>
      <c r="O27">
        <f t="shared" si="19"/>
        <v>0.010825629196632188</v>
      </c>
      <c r="P27">
        <f t="shared" si="20"/>
        <v>0.009904194810635022</v>
      </c>
      <c r="Q27">
        <f t="shared" si="21"/>
        <v>0.02402437750694217</v>
      </c>
      <c r="R27">
        <f t="shared" si="22"/>
        <v>0.02763292057248625</v>
      </c>
      <c r="S27">
        <f t="shared" si="23"/>
        <v>0.031241463638030334</v>
      </c>
      <c r="T27">
        <f t="shared" si="24"/>
        <v>0.034850006703574375</v>
      </c>
      <c r="U27">
        <f t="shared" si="25"/>
        <v>0.03845854976911846</v>
      </c>
      <c r="V27">
        <f t="shared" si="26"/>
        <v>0.04206709283466254</v>
      </c>
      <c r="W27" s="45">
        <f t="shared" si="7"/>
        <v>0.9631944177208218</v>
      </c>
      <c r="X27" s="45">
        <f t="shared" si="8"/>
        <v>1.014372205173584</v>
      </c>
      <c r="Y27" s="45">
        <f t="shared" si="9"/>
        <v>0.9893957000537836</v>
      </c>
      <c r="Z27" s="45">
        <f t="shared" si="10"/>
        <v>0.992218423733352</v>
      </c>
      <c r="AA27" s="45">
        <f t="shared" si="11"/>
        <v>0.9770376455143561</v>
      </c>
      <c r="AB27" s="45">
        <f t="shared" si="12"/>
        <v>0.973571765328839</v>
      </c>
      <c r="AC27" s="45">
        <f t="shared" si="13"/>
        <v>0.9701181797826489</v>
      </c>
      <c r="AD27" s="45">
        <f t="shared" si="14"/>
        <v>0.9666768452625768</v>
      </c>
      <c r="AE27" s="45">
        <f t="shared" si="15"/>
        <v>0.9632477183101247</v>
      </c>
      <c r="AF27" s="45">
        <f t="shared" si="16"/>
        <v>0.9598307556209562</v>
      </c>
    </row>
    <row r="28" spans="1:32" ht="12.75">
      <c r="A28">
        <v>16</v>
      </c>
      <c r="B28">
        <f t="shared" si="4"/>
        <v>1.3333333333333333</v>
      </c>
      <c r="C28">
        <f t="shared" si="0"/>
        <v>0.03</v>
      </c>
      <c r="D28">
        <f t="shared" si="0"/>
        <v>-0.0110460429282641</v>
      </c>
      <c r="E28">
        <f t="shared" si="0"/>
        <v>0.008661150248924346</v>
      </c>
      <c r="F28">
        <f t="shared" si="0"/>
        <v>0.006493716072555599</v>
      </c>
      <c r="G28">
        <f t="shared" si="1"/>
        <v>0.0189539570717359</v>
      </c>
      <c r="H28">
        <f t="shared" si="1"/>
        <v>0.02184100715471068</v>
      </c>
      <c r="I28">
        <f t="shared" si="1"/>
        <v>0.024728057237685463</v>
      </c>
      <c r="J28">
        <f t="shared" si="1"/>
        <v>0.027615107320660245</v>
      </c>
      <c r="K28">
        <f t="shared" si="1"/>
        <v>0.030502157403635027</v>
      </c>
      <c r="L28">
        <f t="shared" si="5"/>
        <v>0.03338920748660981</v>
      </c>
      <c r="M28">
        <f t="shared" si="17"/>
        <v>0.02999999999999997</v>
      </c>
      <c r="N28">
        <f t="shared" si="18"/>
        <v>-0.005497838098671234</v>
      </c>
      <c r="O28">
        <f t="shared" si="19"/>
        <v>0.01064728943954356</v>
      </c>
      <c r="P28">
        <f t="shared" si="20"/>
        <v>0.010155328528108224</v>
      </c>
      <c r="Q28">
        <f t="shared" si="21"/>
        <v>0.024502161901328777</v>
      </c>
      <c r="R28">
        <f t="shared" si="22"/>
        <v>0.028051258381176652</v>
      </c>
      <c r="S28">
        <f t="shared" si="23"/>
        <v>0.031600354861024485</v>
      </c>
      <c r="T28">
        <f t="shared" si="24"/>
        <v>0.03514945134087227</v>
      </c>
      <c r="U28">
        <f t="shared" si="25"/>
        <v>0.03869854782072011</v>
      </c>
      <c r="V28">
        <f t="shared" si="26"/>
        <v>0.04224764430056802</v>
      </c>
      <c r="W28" s="45">
        <f t="shared" si="7"/>
        <v>0.9607894391523232</v>
      </c>
      <c r="X28" s="45">
        <f t="shared" si="8"/>
        <v>1.0148370494967238</v>
      </c>
      <c r="Y28" s="45">
        <f t="shared" si="9"/>
        <v>0.9885182241931018</v>
      </c>
      <c r="Z28" s="45">
        <f t="shared" si="10"/>
        <v>0.9913790869339302</v>
      </c>
      <c r="AA28" s="45">
        <f t="shared" si="11"/>
        <v>0.9750447196169557</v>
      </c>
      <c r="AB28" s="45">
        <f t="shared" si="12"/>
        <v>0.9712985971533017</v>
      </c>
      <c r="AC28" s="45">
        <f t="shared" si="13"/>
        <v>0.9675668672946538</v>
      </c>
      <c r="AD28" s="45">
        <f t="shared" si="14"/>
        <v>0.9638494747446139</v>
      </c>
      <c r="AE28" s="45">
        <f t="shared" si="15"/>
        <v>0.9601463644192327</v>
      </c>
      <c r="AF28" s="45">
        <f t="shared" si="16"/>
        <v>0.9564574814461937</v>
      </c>
    </row>
    <row r="29" spans="1:32" ht="12.75">
      <c r="A29">
        <v>17</v>
      </c>
      <c r="B29">
        <f t="shared" si="4"/>
        <v>1.4166666666666665</v>
      </c>
      <c r="C29">
        <f t="shared" si="0"/>
        <v>0.03</v>
      </c>
      <c r="D29">
        <f t="shared" si="0"/>
        <v>-0.010693820122790843</v>
      </c>
      <c r="E29">
        <f t="shared" si="0"/>
        <v>0.0087650979451168</v>
      </c>
      <c r="F29">
        <f t="shared" si="0"/>
        <v>0.006721701538779179</v>
      </c>
      <c r="G29">
        <f aca="true" t="shared" si="27" ref="G29:K31">G$6+G$7*((1-EXP(-$B29/G$9))/($B29/G$9))+G$8*((1-EXP(-$B29/G$9))/($B29/G$9)-EXP(-$B29/G$9))</f>
        <v>0.019306179877209156</v>
      </c>
      <c r="H29">
        <f t="shared" si="27"/>
        <v>0.022227879192248088</v>
      </c>
      <c r="I29">
        <f t="shared" si="27"/>
        <v>0.025149578507287024</v>
      </c>
      <c r="J29">
        <f t="shared" si="27"/>
        <v>0.028071277822325956</v>
      </c>
      <c r="K29">
        <f t="shared" si="27"/>
        <v>0.030992977137364888</v>
      </c>
      <c r="L29">
        <f t="shared" si="5"/>
        <v>0.03391467645240383</v>
      </c>
      <c r="M29">
        <f t="shared" si="17"/>
        <v>0.030000000000000054</v>
      </c>
      <c r="N29">
        <f t="shared" si="18"/>
        <v>-0.005058255235218735</v>
      </c>
      <c r="O29">
        <f t="shared" si="19"/>
        <v>0.010428261084196063</v>
      </c>
      <c r="P29">
        <f t="shared" si="20"/>
        <v>0.010369468998356468</v>
      </c>
      <c r="Q29">
        <f t="shared" si="21"/>
        <v>0.024941744764781275</v>
      </c>
      <c r="R29">
        <f t="shared" si="22"/>
        <v>0.02841783179284658</v>
      </c>
      <c r="S29">
        <f t="shared" si="23"/>
        <v>0.03189391882091197</v>
      </c>
      <c r="T29">
        <f t="shared" si="24"/>
        <v>0.03537000584897732</v>
      </c>
      <c r="U29">
        <f t="shared" si="25"/>
        <v>0.03884609287704275</v>
      </c>
      <c r="V29">
        <f t="shared" si="26"/>
        <v>0.042322179905108094</v>
      </c>
      <c r="W29" s="45">
        <f t="shared" si="7"/>
        <v>0.958390465520947</v>
      </c>
      <c r="X29" s="45">
        <f t="shared" si="8"/>
        <v>1.0152649150691506</v>
      </c>
      <c r="Y29" s="45">
        <f t="shared" si="9"/>
        <v>0.9876595535048648</v>
      </c>
      <c r="Z29" s="45">
        <f t="shared" si="10"/>
        <v>0.9905227840701658</v>
      </c>
      <c r="AA29" s="45">
        <f t="shared" si="11"/>
        <v>0.973020214580208</v>
      </c>
      <c r="AB29" s="45">
        <f t="shared" si="12"/>
        <v>0.9690011352510448</v>
      </c>
      <c r="AC29" s="45">
        <f t="shared" si="13"/>
        <v>0.9649986568089053</v>
      </c>
      <c r="AD29" s="45">
        <f t="shared" si="14"/>
        <v>0.961012710683496</v>
      </c>
      <c r="AE29" s="45">
        <f t="shared" si="15"/>
        <v>0.957043228587754</v>
      </c>
      <c r="AF29" s="45">
        <f t="shared" si="16"/>
        <v>0.9530901425166777</v>
      </c>
    </row>
    <row r="30" spans="1:32" ht="12.75">
      <c r="A30">
        <v>18</v>
      </c>
      <c r="B30">
        <f t="shared" si="4"/>
        <v>1.5</v>
      </c>
      <c r="C30">
        <f t="shared" si="0"/>
        <v>0.03</v>
      </c>
      <c r="D30">
        <f t="shared" si="0"/>
        <v>-0.010358264531354269</v>
      </c>
      <c r="E30">
        <f t="shared" si="0"/>
        <v>0.00884349199257851</v>
      </c>
      <c r="F30">
        <f t="shared" si="0"/>
        <v>0.006934341308128971</v>
      </c>
      <c r="G30">
        <f t="shared" si="27"/>
        <v>0.01964173546864573</v>
      </c>
      <c r="H30">
        <f t="shared" si="27"/>
        <v>0.022589566132838565</v>
      </c>
      <c r="I30">
        <f t="shared" si="27"/>
        <v>0.025537396797031403</v>
      </c>
      <c r="J30">
        <f t="shared" si="27"/>
        <v>0.02848522746122424</v>
      </c>
      <c r="K30">
        <f t="shared" si="27"/>
        <v>0.03143305812541708</v>
      </c>
      <c r="L30">
        <f t="shared" si="5"/>
        <v>0.03438088878960992</v>
      </c>
      <c r="M30">
        <f t="shared" si="17"/>
        <v>0.029999999999999975</v>
      </c>
      <c r="N30">
        <f t="shared" si="18"/>
        <v>-0.004653819476932502</v>
      </c>
      <c r="O30">
        <f t="shared" si="19"/>
        <v>0.010176190799427571</v>
      </c>
      <c r="P30">
        <f t="shared" si="20"/>
        <v>0.010549217387075436</v>
      </c>
      <c r="Q30">
        <f t="shared" si="21"/>
        <v>0.025346180523067512</v>
      </c>
      <c r="R30">
        <f t="shared" si="22"/>
        <v>0.02873824412287668</v>
      </c>
      <c r="S30">
        <f t="shared" si="23"/>
        <v>0.03213030772268585</v>
      </c>
      <c r="T30">
        <f t="shared" si="24"/>
        <v>0.035522371322495104</v>
      </c>
      <c r="U30">
        <f t="shared" si="25"/>
        <v>0.03891443492230427</v>
      </c>
      <c r="V30">
        <f t="shared" si="26"/>
        <v>0.04230649852211344</v>
      </c>
      <c r="W30" s="45">
        <f t="shared" si="7"/>
        <v>0.9559974818331</v>
      </c>
      <c r="X30" s="45">
        <f t="shared" si="8"/>
        <v>1.0156587297314787</v>
      </c>
      <c r="Y30" s="45">
        <f t="shared" si="9"/>
        <v>0.9868223575276741</v>
      </c>
      <c r="Z30" s="45">
        <f t="shared" si="10"/>
        <v>0.989652396690956</v>
      </c>
      <c r="AA30" s="45">
        <f t="shared" si="11"/>
        <v>0.9709671880250987</v>
      </c>
      <c r="AB30" s="45">
        <f t="shared" si="12"/>
        <v>0.9666832958702407</v>
      </c>
      <c r="AC30" s="45">
        <f t="shared" si="13"/>
        <v>0.9624183041810429</v>
      </c>
      <c r="AD30" s="45">
        <f t="shared" si="14"/>
        <v>0.9581721295689443</v>
      </c>
      <c r="AE30" s="45">
        <f t="shared" si="15"/>
        <v>0.953944689013293</v>
      </c>
      <c r="AF30" s="45">
        <f t="shared" si="16"/>
        <v>0.9497358998597228</v>
      </c>
    </row>
    <row r="31" spans="1:32" ht="12.75">
      <c r="A31">
        <v>19</v>
      </c>
      <c r="B31">
        <f t="shared" si="4"/>
        <v>1.5833333333333333</v>
      </c>
      <c r="C31">
        <f t="shared" si="0"/>
        <v>0.03</v>
      </c>
      <c r="D31">
        <f t="shared" si="0"/>
        <v>-0.010038446430569567</v>
      </c>
      <c r="E31">
        <f t="shared" si="0"/>
        <v>0.008898979918457074</v>
      </c>
      <c r="F31">
        <f t="shared" si="0"/>
        <v>0.007132377247820108</v>
      </c>
      <c r="G31">
        <f t="shared" si="27"/>
        <v>0.019961553569430433</v>
      </c>
      <c r="H31">
        <f t="shared" si="27"/>
        <v>0.022927880208916125</v>
      </c>
      <c r="I31">
        <f t="shared" si="27"/>
        <v>0.025894206848401817</v>
      </c>
      <c r="J31">
        <f t="shared" si="27"/>
        <v>0.02886053348788751</v>
      </c>
      <c r="K31">
        <f t="shared" si="27"/>
        <v>0.0318268601273732</v>
      </c>
      <c r="L31">
        <f t="shared" si="5"/>
        <v>0.03479318676685889</v>
      </c>
      <c r="M31">
        <f t="shared" si="17"/>
        <v>0.02999999999999997</v>
      </c>
      <c r="N31">
        <f t="shared" si="18"/>
        <v>-0.00428172061644495</v>
      </c>
      <c r="O31">
        <f t="shared" si="19"/>
        <v>0.009897762584271228</v>
      </c>
      <c r="P31">
        <f t="shared" si="20"/>
        <v>0.01069702416226056</v>
      </c>
      <c r="Q31">
        <f t="shared" si="21"/>
        <v>0.025718279383555084</v>
      </c>
      <c r="R31">
        <f t="shared" si="22"/>
        <v>0.02901753357831224</v>
      </c>
      <c r="S31">
        <f t="shared" si="23"/>
        <v>0.03231678777306923</v>
      </c>
      <c r="T31">
        <f t="shared" si="24"/>
        <v>0.03561604196782631</v>
      </c>
      <c r="U31">
        <f t="shared" si="25"/>
        <v>0.038915296162583386</v>
      </c>
      <c r="V31">
        <f t="shared" si="26"/>
        <v>0.04221455035734046</v>
      </c>
      <c r="W31" s="45">
        <f t="shared" si="7"/>
        <v>0.9536104731326264</v>
      </c>
      <c r="X31" s="45">
        <f t="shared" si="8"/>
        <v>1.016021191636189</v>
      </c>
      <c r="Y31" s="45">
        <f t="shared" si="9"/>
        <v>0.9860087486609701</v>
      </c>
      <c r="Z31" s="45">
        <f t="shared" si="10"/>
        <v>0.9887705951432303</v>
      </c>
      <c r="AA31" s="45">
        <f t="shared" si="11"/>
        <v>0.968888449268961</v>
      </c>
      <c r="AB31" s="45">
        <f t="shared" si="12"/>
        <v>0.9643485561076774</v>
      </c>
      <c r="AC31" s="45">
        <f t="shared" si="13"/>
        <v>0.9598299353951794</v>
      </c>
      <c r="AD31" s="45">
        <f t="shared" si="14"/>
        <v>0.9553324874557559</v>
      </c>
      <c r="AE31" s="45">
        <f t="shared" si="15"/>
        <v>0.9508561130807444</v>
      </c>
      <c r="AF31" s="45">
        <f t="shared" si="16"/>
        <v>0.9464007135263405</v>
      </c>
    </row>
    <row r="32" spans="1:32" ht="12.75">
      <c r="A32">
        <v>20</v>
      </c>
      <c r="B32">
        <f t="shared" si="4"/>
        <v>1.6666666666666665</v>
      </c>
      <c r="C32">
        <f t="shared" si="0"/>
        <v>0.03</v>
      </c>
      <c r="D32">
        <f t="shared" si="0"/>
        <v>-0.009733492765949259</v>
      </c>
      <c r="E32">
        <f t="shared" si="0"/>
        <v>0.00893397106379703</v>
      </c>
      <c r="F32">
        <f t="shared" si="0"/>
        <v>0.007316518238532836</v>
      </c>
      <c r="G32">
        <f>G$6+G$7*((1-EXP(-$B32/G$9))/($B32/G$9))+G$8*((1-EXP(-$B32/G$9))/($B32/G$9)-EXP(-$B32/G$9))</f>
        <v>0.02026650723405074</v>
      </c>
      <c r="H32">
        <f aca="true" t="shared" si="28" ref="G32:K73">H$6+H$7*((1-EXP(-$B32/H$9))/($B32/H$9))+H$8*((1-EXP(-$B32/H$9))/($B32/H$9)-EXP(-$B32/H$9))</f>
        <v>0.02324449758864975</v>
      </c>
      <c r="I32">
        <f t="shared" si="28"/>
        <v>0.02622248794324876</v>
      </c>
      <c r="J32">
        <f t="shared" si="28"/>
        <v>0.02920047829784777</v>
      </c>
      <c r="K32">
        <f t="shared" si="28"/>
        <v>0.03217846865244678</v>
      </c>
      <c r="L32">
        <f t="shared" si="5"/>
        <v>0.035156459007045796</v>
      </c>
      <c r="M32">
        <f t="shared" si="17"/>
        <v>0.030000000000000054</v>
      </c>
      <c r="N32">
        <f t="shared" si="18"/>
        <v>-0.003939373138163397</v>
      </c>
      <c r="O32">
        <f t="shared" si="19"/>
        <v>0.009598802825256216</v>
      </c>
      <c r="P32">
        <f t="shared" si="20"/>
        <v>0.01081519706207468</v>
      </c>
      <c r="Q32">
        <f t="shared" si="21"/>
        <v>0.026060626861836574</v>
      </c>
      <c r="R32">
        <f t="shared" si="22"/>
        <v>0.02926022780358861</v>
      </c>
      <c r="S32">
        <f t="shared" si="23"/>
        <v>0.03245982874534073</v>
      </c>
      <c r="T32">
        <f t="shared" si="24"/>
        <v>0.03565942968709277</v>
      </c>
      <c r="U32">
        <f t="shared" si="25"/>
        <v>0.038859030628844805</v>
      </c>
      <c r="V32">
        <f t="shared" si="26"/>
        <v>0.04205863157059692</v>
      </c>
      <c r="W32" s="45">
        <f t="shared" si="7"/>
        <v>0.951229424500714</v>
      </c>
      <c r="X32" s="45">
        <f t="shared" si="8"/>
        <v>1.0163547869388867</v>
      </c>
      <c r="Y32" s="45">
        <f t="shared" si="9"/>
        <v>0.9852203553907906</v>
      </c>
      <c r="Z32" s="45">
        <f t="shared" si="10"/>
        <v>0.9878798508661737</v>
      </c>
      <c r="AA32" s="45">
        <f t="shared" si="11"/>
        <v>0.966786579068423</v>
      </c>
      <c r="AB32" s="45">
        <f t="shared" si="12"/>
        <v>0.9619999990399378</v>
      </c>
      <c r="AC32" s="45">
        <f t="shared" si="13"/>
        <v>0.9572371174665875</v>
      </c>
      <c r="AD32" s="45">
        <f t="shared" si="14"/>
        <v>0.9524978170168383</v>
      </c>
      <c r="AE32" s="45">
        <f t="shared" si="15"/>
        <v>0.9477819809400677</v>
      </c>
      <c r="AF32" s="45">
        <f t="shared" si="16"/>
        <v>0.9430894930636873</v>
      </c>
    </row>
    <row r="33" spans="1:32" ht="12.75">
      <c r="A33">
        <v>21</v>
      </c>
      <c r="B33">
        <f t="shared" si="4"/>
        <v>1.75</v>
      </c>
      <c r="C33">
        <f aca="true" t="shared" si="29" ref="C33:F52">C$6+C$7*((1-EXP(-$B33/C$9))/($B33/C$9))+C$8*((1-EXP(-$B33/C$9))/($B33/C$9)-EXP(-$B33/C$9))</f>
        <v>0.03</v>
      </c>
      <c r="D33">
        <f t="shared" si="29"/>
        <v>-0.009442583503423484</v>
      </c>
      <c r="E33">
        <f t="shared" si="29"/>
        <v>0.008950656951621873</v>
      </c>
      <c r="F33">
        <f t="shared" si="29"/>
        <v>0.007487441592095886</v>
      </c>
      <c r="G33">
        <f t="shared" si="28"/>
        <v>0.020557416496576515</v>
      </c>
      <c r="H33">
        <f t="shared" si="28"/>
        <v>0.023540968813783807</v>
      </c>
      <c r="I33">
        <f t="shared" si="28"/>
        <v>0.026524521130991095</v>
      </c>
      <c r="J33">
        <f t="shared" si="28"/>
        <v>0.029508073448198387</v>
      </c>
      <c r="K33">
        <f t="shared" si="28"/>
        <v>0.03249162576540568</v>
      </c>
      <c r="L33">
        <f t="shared" si="5"/>
        <v>0.03547517808261297</v>
      </c>
      <c r="M33">
        <f t="shared" si="17"/>
        <v>0.029999999999999975</v>
      </c>
      <c r="N33">
        <f t="shared" si="18"/>
        <v>-0.0036243982529079806</v>
      </c>
      <c r="O33">
        <f t="shared" si="19"/>
        <v>0.009284374708118732</v>
      </c>
      <c r="P33">
        <f t="shared" si="20"/>
        <v>0.01090590866335689</v>
      </c>
      <c r="Q33">
        <f t="shared" si="21"/>
        <v>0.02637560174709195</v>
      </c>
      <c r="R33">
        <f t="shared" si="22"/>
        <v>0.029470393316464897</v>
      </c>
      <c r="S33">
        <f t="shared" si="23"/>
        <v>0.03256518488583776</v>
      </c>
      <c r="T33">
        <f t="shared" si="24"/>
        <v>0.035659976455210705</v>
      </c>
      <c r="U33">
        <f t="shared" si="25"/>
        <v>0.03875476802458365</v>
      </c>
      <c r="V33">
        <f t="shared" si="26"/>
        <v>0.04184955959395643</v>
      </c>
      <c r="W33" s="45">
        <f t="shared" si="7"/>
        <v>0.9488543210558013</v>
      </c>
      <c r="X33" s="45">
        <f t="shared" si="8"/>
        <v>1.0166618061777288</v>
      </c>
      <c r="Y33" s="45">
        <f t="shared" si="9"/>
        <v>0.9844583872829007</v>
      </c>
      <c r="Z33" s="45">
        <f t="shared" si="10"/>
        <v>0.9869824481006406</v>
      </c>
      <c r="AA33" s="45">
        <f t="shared" si="11"/>
        <v>0.9646639478441335</v>
      </c>
      <c r="AB33" s="45">
        <f t="shared" si="12"/>
        <v>0.95964035451624</v>
      </c>
      <c r="AC33" s="45">
        <f t="shared" si="13"/>
        <v>0.954642922101668</v>
      </c>
      <c r="AD33" s="45">
        <f t="shared" si="14"/>
        <v>0.9496715143645919</v>
      </c>
      <c r="AE33" s="45">
        <f t="shared" si="15"/>
        <v>0.9447259957786486</v>
      </c>
      <c r="AF33" s="45">
        <f t="shared" si="16"/>
        <v>0.9398062315232438</v>
      </c>
    </row>
    <row r="34" spans="1:32" ht="12.75">
      <c r="A34">
        <v>22</v>
      </c>
      <c r="B34">
        <f t="shared" si="4"/>
        <v>1.8333333333333333</v>
      </c>
      <c r="C34">
        <f t="shared" si="29"/>
        <v>0.03</v>
      </c>
      <c r="D34">
        <f t="shared" si="29"/>
        <v>-0.009164948224585159</v>
      </c>
      <c r="E34">
        <f t="shared" si="29"/>
        <v>0.00895102995448692</v>
      </c>
      <c r="F34">
        <f t="shared" si="29"/>
        <v>0.007645794409277758</v>
      </c>
      <c r="G34">
        <f t="shared" si="28"/>
        <v>0.02083505177541484</v>
      </c>
      <c r="H34">
        <f t="shared" si="28"/>
        <v>0.02381872842691048</v>
      </c>
      <c r="I34">
        <f t="shared" si="28"/>
        <v>0.02680240507840612</v>
      </c>
      <c r="J34">
        <f t="shared" si="28"/>
        <v>0.02978608172990176</v>
      </c>
      <c r="K34">
        <f t="shared" si="28"/>
        <v>0.032769758381397396</v>
      </c>
      <c r="L34">
        <f t="shared" si="5"/>
        <v>0.035753435032893036</v>
      </c>
      <c r="M34">
        <f t="shared" si="17"/>
        <v>0.02999999999999997</v>
      </c>
      <c r="N34">
        <f t="shared" si="18"/>
        <v>-0.0033346073689803388</v>
      </c>
      <c r="O34">
        <f t="shared" si="19"/>
        <v>0.008958863014652882</v>
      </c>
      <c r="P34">
        <f t="shared" si="20"/>
        <v>0.010971203570097062</v>
      </c>
      <c r="Q34">
        <f t="shared" si="21"/>
        <v>0.026665392631019715</v>
      </c>
      <c r="R34">
        <f t="shared" si="22"/>
        <v>0.029651680302570677</v>
      </c>
      <c r="S34">
        <f t="shared" si="23"/>
        <v>0.032637967974121634</v>
      </c>
      <c r="T34">
        <f t="shared" si="24"/>
        <v>0.0356242556456726</v>
      </c>
      <c r="U34">
        <f t="shared" si="25"/>
        <v>0.038610543317223474</v>
      </c>
      <c r="V34">
        <f t="shared" si="26"/>
        <v>0.041596830988774515</v>
      </c>
      <c r="W34" s="45">
        <f t="shared" si="7"/>
        <v>0.9464851479534839</v>
      </c>
      <c r="X34" s="45">
        <f t="shared" si="8"/>
        <v>1.0169443594303038</v>
      </c>
      <c r="Y34" s="45">
        <f t="shared" si="9"/>
        <v>0.9837236925819669</v>
      </c>
      <c r="Z34" s="45">
        <f t="shared" si="10"/>
        <v>0.9860804950298971</v>
      </c>
      <c r="AA34" s="45">
        <f t="shared" si="11"/>
        <v>0.9625227324958521</v>
      </c>
      <c r="AB34" s="45">
        <f t="shared" si="12"/>
        <v>0.9572720359974474</v>
      </c>
      <c r="AC34" s="45">
        <f t="shared" si="13"/>
        <v>0.9520499827848452</v>
      </c>
      <c r="AD34" s="45">
        <f t="shared" si="14"/>
        <v>0.9468564166049044</v>
      </c>
      <c r="AE34" s="45">
        <f t="shared" si="15"/>
        <v>0.9416911820568664</v>
      </c>
      <c r="AF34" s="45">
        <f t="shared" si="16"/>
        <v>0.9365541245877059</v>
      </c>
    </row>
    <row r="35" spans="1:32" ht="12.75">
      <c r="A35">
        <v>23</v>
      </c>
      <c r="B35">
        <f t="shared" si="4"/>
        <v>1.9166666666666665</v>
      </c>
      <c r="C35">
        <f t="shared" si="29"/>
        <v>0.03</v>
      </c>
      <c r="D35">
        <f t="shared" si="29"/>
        <v>-0.008899862948942851</v>
      </c>
      <c r="E35">
        <f t="shared" si="29"/>
        <v>0.00893690040162497</v>
      </c>
      <c r="F35">
        <f t="shared" si="29"/>
        <v>0.0077921948801913865</v>
      </c>
      <c r="G35">
        <f t="shared" si="28"/>
        <v>0.02110013705105715</v>
      </c>
      <c r="H35">
        <f t="shared" si="28"/>
        <v>0.024079103851598806</v>
      </c>
      <c r="I35">
        <f t="shared" si="28"/>
        <v>0.027058070652140463</v>
      </c>
      <c r="J35">
        <f t="shared" si="28"/>
        <v>0.03003703745268212</v>
      </c>
      <c r="K35">
        <f t="shared" si="28"/>
        <v>0.03301600425322378</v>
      </c>
      <c r="L35">
        <f t="shared" si="5"/>
        <v>0.03599497105376544</v>
      </c>
      <c r="M35">
        <f t="shared" si="17"/>
        <v>0.030000000000000054</v>
      </c>
      <c r="N35">
        <f t="shared" si="18"/>
        <v>-0.003067986884812082</v>
      </c>
      <c r="O35">
        <f t="shared" si="19"/>
        <v>0.008626050238662093</v>
      </c>
      <c r="P35">
        <f t="shared" si="20"/>
        <v>0.011013005240291213</v>
      </c>
      <c r="Q35">
        <f t="shared" si="21"/>
        <v>0.02693201311518797</v>
      </c>
      <c r="R35">
        <f t="shared" si="22"/>
        <v>0.029807363194742004</v>
      </c>
      <c r="S35">
        <f t="shared" si="23"/>
        <v>0.03268271327429603</v>
      </c>
      <c r="T35">
        <f t="shared" si="24"/>
        <v>0.03555806335385007</v>
      </c>
      <c r="U35">
        <f t="shared" si="25"/>
        <v>0.0384334134334041</v>
      </c>
      <c r="V35">
        <f t="shared" si="26"/>
        <v>0.04130876351295829</v>
      </c>
      <c r="W35" s="45">
        <f t="shared" si="7"/>
        <v>0.9441218903864221</v>
      </c>
      <c r="X35" s="45">
        <f t="shared" si="8"/>
        <v>1.0172043903324721</v>
      </c>
      <c r="Y35" s="45">
        <f t="shared" si="9"/>
        <v>0.9830168091801302</v>
      </c>
      <c r="Z35" s="45">
        <f t="shared" si="10"/>
        <v>0.9851759343689318</v>
      </c>
      <c r="AA35" s="45">
        <f t="shared" si="11"/>
        <v>0.9603649319100616</v>
      </c>
      <c r="AB35" s="45">
        <f t="shared" si="12"/>
        <v>0.9548971737965984</v>
      </c>
      <c r="AC35" s="45">
        <f t="shared" si="13"/>
        <v>0.9494605459106081</v>
      </c>
      <c r="AD35" s="45">
        <f t="shared" si="14"/>
        <v>0.9440548710147217</v>
      </c>
      <c r="AE35" s="45">
        <f t="shared" si="15"/>
        <v>0.9386799728806565</v>
      </c>
      <c r="AF35" s="45">
        <f t="shared" si="16"/>
        <v>0.9333356762834706</v>
      </c>
    </row>
    <row r="36" spans="1:32" ht="12.75">
      <c r="A36">
        <v>24</v>
      </c>
      <c r="B36">
        <f t="shared" si="4"/>
        <v>2</v>
      </c>
      <c r="C36">
        <f t="shared" si="29"/>
        <v>0.03</v>
      </c>
      <c r="D36">
        <f t="shared" si="29"/>
        <v>-0.008646647167633872</v>
      </c>
      <c r="E36">
        <f t="shared" si="29"/>
        <v>0.008909912254352429</v>
      </c>
      <c r="F36">
        <f t="shared" si="29"/>
        <v>0.00792723352971346</v>
      </c>
      <c r="G36">
        <f t="shared" si="28"/>
        <v>0.021353352832366126</v>
      </c>
      <c r="H36">
        <f t="shared" si="28"/>
        <v>0.024323323583816937</v>
      </c>
      <c r="I36">
        <f t="shared" si="28"/>
        <v>0.027293294335267747</v>
      </c>
      <c r="J36">
        <f t="shared" si="28"/>
        <v>0.030263265086718553</v>
      </c>
      <c r="K36">
        <f t="shared" si="28"/>
        <v>0.03323323583816937</v>
      </c>
      <c r="L36">
        <f t="shared" si="5"/>
        <v>0.036203206589620174</v>
      </c>
      <c r="M36">
        <f t="shared" si="17"/>
        <v>0.029999999999999975</v>
      </c>
      <c r="N36">
        <f t="shared" si="18"/>
        <v>-0.0028226841975273562</v>
      </c>
      <c r="O36">
        <f t="shared" si="19"/>
        <v>0.008289184867083965</v>
      </c>
      <c r="P36">
        <f t="shared" si="20"/>
        <v>0.011033122468721132</v>
      </c>
      <c r="Q36">
        <f t="shared" si="21"/>
        <v>0.027177315802472575</v>
      </c>
      <c r="R36">
        <f t="shared" si="22"/>
        <v>0.029940377424833884</v>
      </c>
      <c r="S36">
        <f t="shared" si="23"/>
        <v>0.032703439047195276</v>
      </c>
      <c r="T36">
        <f t="shared" si="24"/>
        <v>0.0354665006695565</v>
      </c>
      <c r="U36">
        <f t="shared" si="25"/>
        <v>0.03822956229191797</v>
      </c>
      <c r="V36">
        <f t="shared" si="26"/>
        <v>0.04099262391427903</v>
      </c>
      <c r="W36" s="45">
        <f t="shared" si="7"/>
        <v>0.9417645335842487</v>
      </c>
      <c r="X36" s="45">
        <f t="shared" si="8"/>
        <v>1.0174436890389176</v>
      </c>
      <c r="Y36" s="45">
        <f t="shared" si="9"/>
        <v>0.9823380096478431</v>
      </c>
      <c r="Z36" s="45">
        <f t="shared" si="10"/>
        <v>0.9842705534204047</v>
      </c>
      <c r="AA36" s="45">
        <f t="shared" si="11"/>
        <v>0.9581923812559735</v>
      </c>
      <c r="AB36" s="45">
        <f t="shared" si="12"/>
        <v>0.9525176450484341</v>
      </c>
      <c r="AC36" s="45">
        <f t="shared" si="13"/>
        <v>0.9468765165293453</v>
      </c>
      <c r="AD36" s="45">
        <f t="shared" si="14"/>
        <v>0.9412687966627202</v>
      </c>
      <c r="AE36" s="45">
        <f t="shared" si="15"/>
        <v>0.9356942875913293</v>
      </c>
      <c r="AF36" s="45">
        <f t="shared" si="16"/>
        <v>0.9301527926297201</v>
      </c>
    </row>
    <row r="37" spans="1:32" ht="12.75">
      <c r="A37">
        <v>25</v>
      </c>
      <c r="B37">
        <f t="shared" si="4"/>
        <v>2.083333333333333</v>
      </c>
      <c r="C37">
        <f t="shared" si="29"/>
        <v>0.03</v>
      </c>
      <c r="D37">
        <f t="shared" si="29"/>
        <v>-0.00840466107413642</v>
      </c>
      <c r="E37">
        <f t="shared" si="29"/>
        <v>0.00887155746788094</v>
      </c>
      <c r="F37">
        <f t="shared" si="29"/>
        <v>0.008051474410219686</v>
      </c>
      <c r="G37">
        <f t="shared" si="28"/>
        <v>0.02159533892586358</v>
      </c>
      <c r="H37">
        <f t="shared" si="28"/>
        <v>0.02455252474849056</v>
      </c>
      <c r="I37">
        <f t="shared" si="28"/>
        <v>0.02750971057111754</v>
      </c>
      <c r="J37">
        <f t="shared" si="28"/>
        <v>0.030466896393744516</v>
      </c>
      <c r="K37">
        <f t="shared" si="28"/>
        <v>0.0334240822163715</v>
      </c>
      <c r="L37">
        <f t="shared" si="5"/>
        <v>0.03638126803899848</v>
      </c>
      <c r="M37">
        <f t="shared" si="17"/>
        <v>0.029999999999999968</v>
      </c>
      <c r="N37">
        <f t="shared" si="18"/>
        <v>-0.00259699483019755</v>
      </c>
      <c r="O37">
        <f t="shared" si="19"/>
        <v>0.007951042592565183</v>
      </c>
      <c r="P37">
        <f t="shared" si="20"/>
        <v>0.011033255542369126</v>
      </c>
      <c r="Q37">
        <f t="shared" si="21"/>
        <v>0.027403005169802416</v>
      </c>
      <c r="R37">
        <f t="shared" si="22"/>
        <v>0.03005335270065756</v>
      </c>
      <c r="S37">
        <f t="shared" si="23"/>
        <v>0.03270370023151254</v>
      </c>
      <c r="T37">
        <f t="shared" si="24"/>
        <v>0.03535404776236768</v>
      </c>
      <c r="U37">
        <f t="shared" si="25"/>
        <v>0.03800439529322266</v>
      </c>
      <c r="V37">
        <f t="shared" si="26"/>
        <v>0.04065474282407781</v>
      </c>
      <c r="W37" s="45">
        <f t="shared" si="7"/>
        <v>0.9394130628134758</v>
      </c>
      <c r="X37" s="45">
        <f t="shared" si="8"/>
        <v>1.0176639042004971</v>
      </c>
      <c r="Y37" s="45">
        <f t="shared" si="9"/>
        <v>0.9816873409543347</v>
      </c>
      <c r="Z37" s="45">
        <f t="shared" si="10"/>
        <v>0.9833659936158802</v>
      </c>
      <c r="AA37" s="45">
        <f t="shared" si="11"/>
        <v>0.9560067651597086</v>
      </c>
      <c r="AB37" s="45">
        <f t="shared" si="12"/>
        <v>0.9501351007089633</v>
      </c>
      <c r="AC37" s="45">
        <f t="shared" si="13"/>
        <v>0.9442994992283544</v>
      </c>
      <c r="AD37" s="45">
        <f t="shared" si="14"/>
        <v>0.9384997392239894</v>
      </c>
      <c r="AE37" s="45">
        <f t="shared" si="15"/>
        <v>0.9327356005623613</v>
      </c>
      <c r="AF37" s="45">
        <f t="shared" si="16"/>
        <v>0.9270068644619932</v>
      </c>
    </row>
    <row r="38" spans="1:32" ht="12.75">
      <c r="A38">
        <v>26</v>
      </c>
      <c r="B38">
        <f t="shared" si="4"/>
        <v>2.1666666666666665</v>
      </c>
      <c r="C38">
        <f t="shared" si="29"/>
        <v>0.03</v>
      </c>
      <c r="D38">
        <f t="shared" si="29"/>
        <v>-0.008173302978529038</v>
      </c>
      <c r="E38">
        <f t="shared" si="29"/>
        <v>0.008823189148012925</v>
      </c>
      <c r="F38">
        <f t="shared" si="29"/>
        <v>0.008165456243841795</v>
      </c>
      <c r="G38">
        <f t="shared" si="28"/>
        <v>0.021826697021470963</v>
      </c>
      <c r="H38">
        <f t="shared" si="28"/>
        <v>0.024767760070808605</v>
      </c>
      <c r="I38">
        <f t="shared" si="28"/>
        <v>0.027708823120146248</v>
      </c>
      <c r="J38">
        <f t="shared" si="28"/>
        <v>0.030649886169483886</v>
      </c>
      <c r="K38">
        <f t="shared" si="28"/>
        <v>0.03359094921882153</v>
      </c>
      <c r="L38">
        <f t="shared" si="5"/>
        <v>0.03653201226815917</v>
      </c>
      <c r="M38">
        <f t="shared" si="17"/>
        <v>0.029999999999999975</v>
      </c>
      <c r="N38">
        <f t="shared" si="18"/>
        <v>-0.0023893505883444644</v>
      </c>
      <c r="O38">
        <f t="shared" si="19"/>
        <v>0.007613981151312579</v>
      </c>
      <c r="P38">
        <f t="shared" si="20"/>
        <v>0.011015002084394524</v>
      </c>
      <c r="Q38">
        <f t="shared" si="21"/>
        <v>0.027610649411655593</v>
      </c>
      <c r="R38">
        <f t="shared" si="22"/>
        <v>0.030148643128759676</v>
      </c>
      <c r="S38">
        <f t="shared" si="23"/>
        <v>0.03268663684586401</v>
      </c>
      <c r="T38">
        <f t="shared" si="24"/>
        <v>0.03522463056296809</v>
      </c>
      <c r="U38">
        <f t="shared" si="25"/>
        <v>0.03776262428007242</v>
      </c>
      <c r="V38">
        <f t="shared" si="26"/>
        <v>0.04030061799717642</v>
      </c>
      <c r="W38" s="45">
        <f t="shared" si="7"/>
        <v>0.9370674633774034</v>
      </c>
      <c r="X38" s="45">
        <f t="shared" si="8"/>
        <v>1.0178665540289094</v>
      </c>
      <c r="Y38" s="45">
        <f t="shared" si="9"/>
        <v>0.9810646594445693</v>
      </c>
      <c r="Z38" s="45">
        <f t="shared" si="10"/>
        <v>0.9824637595613627</v>
      </c>
      <c r="AA38" s="45">
        <f t="shared" si="11"/>
        <v>0.9538096298405688</v>
      </c>
      <c r="AB38" s="45">
        <f t="shared" si="12"/>
        <v>0.9477509898612048</v>
      </c>
      <c r="AC38" s="45">
        <f t="shared" si="13"/>
        <v>0.9417308346247613</v>
      </c>
      <c r="AD38" s="45">
        <f t="shared" si="14"/>
        <v>0.9357489196744885</v>
      </c>
      <c r="AE38" s="45">
        <f t="shared" si="15"/>
        <v>0.9298050021064364</v>
      </c>
      <c r="AF38" s="45">
        <f t="shared" si="16"/>
        <v>0.9238988405595914</v>
      </c>
    </row>
    <row r="39" spans="1:32" ht="12.75">
      <c r="A39">
        <v>27</v>
      </c>
      <c r="B39">
        <f t="shared" si="4"/>
        <v>2.25</v>
      </c>
      <c r="C39">
        <f t="shared" si="29"/>
        <v>0.03</v>
      </c>
      <c r="D39">
        <f t="shared" si="29"/>
        <v>-0.007952006892783428</v>
      </c>
      <c r="E39">
        <f t="shared" si="29"/>
        <v>0.008766033602319211</v>
      </c>
      <c r="F39">
        <f t="shared" si="29"/>
        <v>0.008269693516360182</v>
      </c>
      <c r="G39">
        <f t="shared" si="28"/>
        <v>0.02204799310721657</v>
      </c>
      <c r="H39">
        <f t="shared" si="28"/>
        <v>0.02497000430798964</v>
      </c>
      <c r="I39">
        <f t="shared" si="28"/>
        <v>0.02789201550876271</v>
      </c>
      <c r="J39">
        <f t="shared" si="28"/>
        <v>0.030814026709535782</v>
      </c>
      <c r="K39">
        <f t="shared" si="28"/>
        <v>0.03373603791030885</v>
      </c>
      <c r="L39">
        <f t="shared" si="5"/>
        <v>0.03665804911108192</v>
      </c>
      <c r="M39">
        <f t="shared" si="17"/>
        <v>0.03000000000000014</v>
      </c>
      <c r="N39">
        <f t="shared" si="18"/>
        <v>-0.0021983086633976068</v>
      </c>
      <c r="O39">
        <f t="shared" si="19"/>
        <v>0.007279989414282665</v>
      </c>
      <c r="P39">
        <f t="shared" si="20"/>
        <v>0.010979862601838248</v>
      </c>
      <c r="Q39">
        <f t="shared" si="21"/>
        <v>0.027801691336602326</v>
      </c>
      <c r="R39">
        <f t="shared" si="22"/>
        <v>0.03022835447469663</v>
      </c>
      <c r="S39">
        <f t="shared" si="23"/>
        <v>0.03265501761279069</v>
      </c>
      <c r="T39">
        <f t="shared" si="24"/>
        <v>0.03508168075088507</v>
      </c>
      <c r="U39">
        <f t="shared" si="25"/>
        <v>0.03750834388897921</v>
      </c>
      <c r="V39">
        <f t="shared" si="26"/>
        <v>0.03993500702707352</v>
      </c>
      <c r="W39" s="45">
        <f t="shared" si="7"/>
        <v>0.9347277206160275</v>
      </c>
      <c r="X39" s="45">
        <f t="shared" si="8"/>
        <v>1.0180530365147993</v>
      </c>
      <c r="Y39" s="45">
        <f t="shared" si="9"/>
        <v>0.9804696615839498</v>
      </c>
      <c r="Z39" s="45">
        <f t="shared" si="10"/>
        <v>0.9815652276063369</v>
      </c>
      <c r="AA39" s="45">
        <f t="shared" si="11"/>
        <v>0.9516023942877038</v>
      </c>
      <c r="AB39" s="45">
        <f t="shared" si="12"/>
        <v>0.9453665815799036</v>
      </c>
      <c r="AC39" s="45">
        <f t="shared" si="13"/>
        <v>0.9391716319051938</v>
      </c>
      <c r="AD39" s="45">
        <f t="shared" si="14"/>
        <v>0.9330172774897412</v>
      </c>
      <c r="AE39" s="45">
        <f t="shared" si="15"/>
        <v>0.9269032523144235</v>
      </c>
      <c r="AF39" s="45">
        <f t="shared" si="16"/>
        <v>0.9208292921033312</v>
      </c>
    </row>
    <row r="40" spans="1:32" ht="12.75">
      <c r="A40">
        <v>28</v>
      </c>
      <c r="B40">
        <f t="shared" si="4"/>
        <v>2.333333333333333</v>
      </c>
      <c r="C40">
        <f t="shared" si="29"/>
        <v>0.03</v>
      </c>
      <c r="D40">
        <f t="shared" si="29"/>
        <v>-0.007740240275447958</v>
      </c>
      <c r="E40">
        <f t="shared" si="29"/>
        <v>0.008701201377239783</v>
      </c>
      <c r="F40">
        <f t="shared" si="29"/>
        <v>0.008364677524758128</v>
      </c>
      <c r="G40">
        <f t="shared" si="28"/>
        <v>0.02225975972455204</v>
      </c>
      <c r="H40">
        <f t="shared" si="28"/>
        <v>0.025160160183631968</v>
      </c>
      <c r="I40">
        <f t="shared" si="28"/>
        <v>0.028060560642711896</v>
      </c>
      <c r="J40">
        <f t="shared" si="28"/>
        <v>0.030960961101791824</v>
      </c>
      <c r="K40">
        <f t="shared" si="28"/>
        <v>0.03386136156087175</v>
      </c>
      <c r="L40">
        <f t="shared" si="5"/>
        <v>0.03676176201995168</v>
      </c>
      <c r="M40">
        <f t="shared" si="17"/>
        <v>0.029999999999999968</v>
      </c>
      <c r="N40">
        <f t="shared" si="18"/>
        <v>-0.0020225416073902176</v>
      </c>
      <c r="O40">
        <f t="shared" si="19"/>
        <v>0.006950731300095197</v>
      </c>
      <c r="P40">
        <f t="shared" si="20"/>
        <v>0.010929245751502666</v>
      </c>
      <c r="Q40">
        <f t="shared" si="21"/>
        <v>0.02797745839260975</v>
      </c>
      <c r="R40">
        <f t="shared" si="22"/>
        <v>0.030294368825974773</v>
      </c>
      <c r="S40">
        <f t="shared" si="23"/>
        <v>0.03261127925933988</v>
      </c>
      <c r="T40">
        <f t="shared" si="24"/>
        <v>0.034928189692704906</v>
      </c>
      <c r="U40">
        <f t="shared" si="25"/>
        <v>0.03724510012606993</v>
      </c>
      <c r="V40">
        <f t="shared" si="26"/>
        <v>0.039562010559435284</v>
      </c>
      <c r="W40" s="45">
        <f t="shared" si="7"/>
        <v>0.9323938199059483</v>
      </c>
      <c r="X40" s="45">
        <f t="shared" si="8"/>
        <v>1.01822463886117</v>
      </c>
      <c r="Y40" s="45">
        <f t="shared" si="9"/>
        <v>0.9799019109311192</v>
      </c>
      <c r="Z40" s="45">
        <f t="shared" si="10"/>
        <v>0.9806716539555532</v>
      </c>
      <c r="AA40" s="45">
        <f t="shared" si="11"/>
        <v>0.9493863605501209</v>
      </c>
      <c r="AB40" s="45">
        <f t="shared" si="12"/>
        <v>0.9429829845862675</v>
      </c>
      <c r="AC40" s="45">
        <f t="shared" si="13"/>
        <v>0.9366227978080167</v>
      </c>
      <c r="AD40" s="45">
        <f t="shared" si="14"/>
        <v>0.9303055089150041</v>
      </c>
      <c r="AE40" s="45">
        <f t="shared" si="15"/>
        <v>0.9240308285716137</v>
      </c>
      <c r="AF40" s="45">
        <f t="shared" si="16"/>
        <v>0.917798469393727</v>
      </c>
    </row>
    <row r="41" spans="1:32" ht="12.75">
      <c r="A41">
        <v>29</v>
      </c>
      <c r="B41">
        <f t="shared" si="4"/>
        <v>2.4166666666666665</v>
      </c>
      <c r="C41">
        <f t="shared" si="29"/>
        <v>0.03</v>
      </c>
      <c r="D41">
        <f t="shared" si="29"/>
        <v>-0.007537501924888882</v>
      </c>
      <c r="E41">
        <f t="shared" si="29"/>
        <v>0.00862969736505552</v>
      </c>
      <c r="F41">
        <f t="shared" si="29"/>
        <v>0.008450877380379357</v>
      </c>
      <c r="G41">
        <f t="shared" si="28"/>
        <v>0.022462498075111116</v>
      </c>
      <c r="H41">
        <f t="shared" si="28"/>
        <v>0.025339063863462956</v>
      </c>
      <c r="I41">
        <f t="shared" si="28"/>
        <v>0.028215629651814796</v>
      </c>
      <c r="J41">
        <f t="shared" si="28"/>
        <v>0.031092195440166635</v>
      </c>
      <c r="K41">
        <f t="shared" si="28"/>
        <v>0.033968761228518475</v>
      </c>
      <c r="L41">
        <f t="shared" si="5"/>
        <v>0.036845327016870315</v>
      </c>
      <c r="M41">
        <f t="shared" si="17"/>
        <v>0.029999999999999975</v>
      </c>
      <c r="N41">
        <f t="shared" si="18"/>
        <v>-0.0018608281092347934</v>
      </c>
      <c r="O41">
        <f t="shared" si="19"/>
        <v>0.006627585023896156</v>
      </c>
      <c r="P41">
        <f t="shared" si="20"/>
        <v>0.010864473337773762</v>
      </c>
      <c r="Q41">
        <f t="shared" si="21"/>
        <v>0.028139171890765265</v>
      </c>
      <c r="R41">
        <f t="shared" si="22"/>
        <v>0.030348366898730633</v>
      </c>
      <c r="S41">
        <f t="shared" si="23"/>
        <v>0.03255756190669601</v>
      </c>
      <c r="T41">
        <f t="shared" si="24"/>
        <v>0.03476675691466146</v>
      </c>
      <c r="U41">
        <f t="shared" si="25"/>
        <v>0.03697595192262675</v>
      </c>
      <c r="V41">
        <f t="shared" si="26"/>
        <v>0.03918514693059187</v>
      </c>
      <c r="W41" s="45">
        <f t="shared" si="7"/>
        <v>0.9300657466602785</v>
      </c>
      <c r="X41" s="45">
        <f t="shared" si="8"/>
        <v>1.0183825461899125</v>
      </c>
      <c r="Y41" s="45">
        <f t="shared" si="9"/>
        <v>0.9793608617527843</v>
      </c>
      <c r="Z41" s="45">
        <f t="shared" si="10"/>
        <v>0.9797841823427021</v>
      </c>
      <c r="AA41" s="45">
        <f t="shared" si="11"/>
        <v>0.9471627232079164</v>
      </c>
      <c r="AB41" s="45">
        <f t="shared" si="12"/>
        <v>0.9406011649035534</v>
      </c>
      <c r="AC41" s="45">
        <f t="shared" si="13"/>
        <v>0.9340850624077085</v>
      </c>
      <c r="AD41" s="45">
        <f t="shared" si="14"/>
        <v>0.9276141008210189</v>
      </c>
      <c r="AE41" s="45">
        <f t="shared" si="15"/>
        <v>0.9211879674256168</v>
      </c>
      <c r="AF41" s="45">
        <f t="shared" si="16"/>
        <v>0.9148063516700167</v>
      </c>
    </row>
    <row r="42" spans="1:32" ht="12.75">
      <c r="A42">
        <v>30</v>
      </c>
      <c r="B42">
        <f t="shared" si="4"/>
        <v>2.5</v>
      </c>
      <c r="C42">
        <f t="shared" si="29"/>
        <v>0.03</v>
      </c>
      <c r="D42">
        <f t="shared" si="29"/>
        <v>-0.00734332001100881</v>
      </c>
      <c r="E42">
        <f t="shared" si="29"/>
        <v>0.00855243005779625</v>
      </c>
      <c r="F42">
        <f t="shared" si="29"/>
        <v>0.008528740969549732</v>
      </c>
      <c r="G42">
        <f t="shared" si="28"/>
        <v>0.02265667998899119</v>
      </c>
      <c r="H42">
        <f t="shared" si="28"/>
        <v>0.025507490008256608</v>
      </c>
      <c r="I42">
        <f t="shared" si="28"/>
        <v>0.028358300027522022</v>
      </c>
      <c r="J42">
        <f t="shared" si="28"/>
        <v>0.03120911004678744</v>
      </c>
      <c r="K42">
        <f t="shared" si="28"/>
        <v>0.03405992006605286</v>
      </c>
      <c r="L42">
        <f t="shared" si="5"/>
        <v>0.036910730085318276</v>
      </c>
      <c r="M42">
        <f t="shared" si="17"/>
        <v>0.029999999999999975</v>
      </c>
      <c r="N42">
        <f t="shared" si="18"/>
        <v>-0.0017120445084867178</v>
      </c>
      <c r="O42">
        <f t="shared" si="19"/>
        <v>0.006311678147277458</v>
      </c>
      <c r="P42">
        <f t="shared" si="20"/>
        <v>0.010786785055490614</v>
      </c>
      <c r="Q42">
        <f t="shared" si="21"/>
        <v>0.02828795549151334</v>
      </c>
      <c r="R42">
        <f t="shared" si="22"/>
        <v>0.03039184820727242</v>
      </c>
      <c r="S42">
        <f t="shared" si="23"/>
        <v>0.03249574092303159</v>
      </c>
      <c r="T42">
        <f t="shared" si="24"/>
        <v>0.034599633638790754</v>
      </c>
      <c r="U42">
        <f t="shared" si="25"/>
        <v>0.036703526354549924</v>
      </c>
      <c r="V42">
        <f t="shared" si="26"/>
        <v>0.038807419070309254</v>
      </c>
      <c r="W42" s="45">
        <f t="shared" si="7"/>
        <v>0.9277434863285529</v>
      </c>
      <c r="X42" s="45">
        <f t="shared" si="8"/>
        <v>1.0185278495753889</v>
      </c>
      <c r="Y42" s="45">
        <f t="shared" si="9"/>
        <v>0.9788458796522576</v>
      </c>
      <c r="Z42" s="45">
        <f t="shared" si="10"/>
        <v>0.9789038512849166</v>
      </c>
      <c r="AA42" s="45">
        <f t="shared" si="11"/>
        <v>0.9449325780877952</v>
      </c>
      <c r="AB42" s="45">
        <f t="shared" si="12"/>
        <v>0.9382219617056283</v>
      </c>
      <c r="AC42" s="45">
        <f t="shared" si="13"/>
        <v>0.9315590020275194</v>
      </c>
      <c r="AD42" s="45">
        <f t="shared" si="14"/>
        <v>0.9249433606104234</v>
      </c>
      <c r="AE42" s="45">
        <f t="shared" si="15"/>
        <v>0.9183747014148125</v>
      </c>
      <c r="AF42" s="45">
        <f t="shared" si="16"/>
        <v>0.9118526907876063</v>
      </c>
    </row>
    <row r="43" spans="1:32" ht="12.75">
      <c r="A43">
        <v>31</v>
      </c>
      <c r="B43">
        <f t="shared" si="4"/>
        <v>2.583333333333333</v>
      </c>
      <c r="C43">
        <f t="shared" si="29"/>
        <v>0.03</v>
      </c>
      <c r="D43">
        <f t="shared" si="29"/>
        <v>-0.007157250236061107</v>
      </c>
      <c r="E43">
        <f t="shared" si="29"/>
        <v>0.008470220018828446</v>
      </c>
      <c r="F43">
        <f t="shared" si="29"/>
        <v>0.008598695873446516</v>
      </c>
      <c r="G43">
        <f t="shared" si="28"/>
        <v>0.022842749763938894</v>
      </c>
      <c r="H43">
        <f t="shared" si="28"/>
        <v>0.02566615643688171</v>
      </c>
      <c r="I43">
        <f t="shared" si="28"/>
        <v>0.028489563109824523</v>
      </c>
      <c r="J43">
        <f t="shared" si="28"/>
        <v>0.03131296978276734</v>
      </c>
      <c r="K43">
        <f t="shared" si="28"/>
        <v>0.03413637645571015</v>
      </c>
      <c r="L43">
        <f t="shared" si="5"/>
        <v>0.03695978312865297</v>
      </c>
      <c r="M43">
        <f t="shared" si="17"/>
        <v>0.029999999999999968</v>
      </c>
      <c r="N43">
        <f t="shared" si="18"/>
        <v>-0.0015751569876300193</v>
      </c>
      <c r="O43">
        <f t="shared" si="19"/>
        <v>0.006003918849794281</v>
      </c>
      <c r="P43">
        <f t="shared" si="20"/>
        <v>0.010697342990350061</v>
      </c>
      <c r="Q43">
        <f t="shared" si="21"/>
        <v>0.02842484301236999</v>
      </c>
      <c r="R43">
        <f t="shared" si="22"/>
        <v>0.030426149295634915</v>
      </c>
      <c r="S43">
        <f t="shared" si="23"/>
        <v>0.032427455578899596</v>
      </c>
      <c r="T43">
        <f t="shared" si="24"/>
        <v>0.03442876186216427</v>
      </c>
      <c r="U43">
        <f t="shared" si="25"/>
        <v>0.036430068145429116</v>
      </c>
      <c r="V43">
        <f t="shared" si="26"/>
        <v>0.03843137442869379</v>
      </c>
      <c r="W43" s="45">
        <f t="shared" si="7"/>
        <v>0.9254270243966369</v>
      </c>
      <c r="X43" s="45">
        <f t="shared" si="8"/>
        <v>1.0186615534553347</v>
      </c>
      <c r="Y43" s="45">
        <f t="shared" si="9"/>
        <v>0.978356259545122</v>
      </c>
      <c r="Z43" s="45">
        <f t="shared" si="10"/>
        <v>0.9780316009367466</v>
      </c>
      <c r="AA43" s="45">
        <f t="shared" si="11"/>
        <v>0.9426969302814261</v>
      </c>
      <c r="AB43" s="45">
        <f t="shared" si="12"/>
        <v>0.9358461015333648</v>
      </c>
      <c r="AC43" s="45">
        <f t="shared" si="13"/>
        <v>0.9290450595757637</v>
      </c>
      <c r="AD43" s="45">
        <f t="shared" si="14"/>
        <v>0.9222934425948046</v>
      </c>
      <c r="AE43" s="45">
        <f t="shared" si="15"/>
        <v>0.9155908914060672</v>
      </c>
      <c r="AF43" s="45">
        <f t="shared" si="16"/>
        <v>0.9089370494354191</v>
      </c>
    </row>
    <row r="44" spans="1:32" ht="12.75">
      <c r="A44">
        <v>32</v>
      </c>
      <c r="B44">
        <f t="shared" si="4"/>
        <v>2.6666666666666665</v>
      </c>
      <c r="C44">
        <f t="shared" si="29"/>
        <v>0.03</v>
      </c>
      <c r="D44">
        <f t="shared" si="29"/>
        <v>-0.006978874115828989</v>
      </c>
      <c r="E44">
        <f t="shared" si="29"/>
        <v>0.008383807637059438</v>
      </c>
      <c r="F44">
        <f t="shared" si="29"/>
        <v>0.008661150248924346</v>
      </c>
      <c r="G44">
        <f t="shared" si="28"/>
        <v>0.02302112588417101</v>
      </c>
      <c r="H44">
        <f t="shared" si="28"/>
        <v>0.02581572842985749</v>
      </c>
      <c r="I44">
        <f t="shared" si="28"/>
        <v>0.02861033097554397</v>
      </c>
      <c r="J44">
        <f t="shared" si="28"/>
        <v>0.03140493352123045</v>
      </c>
      <c r="K44">
        <f t="shared" si="28"/>
        <v>0.034199536066916926</v>
      </c>
      <c r="L44">
        <f t="shared" si="5"/>
        <v>0.03699413861260341</v>
      </c>
      <c r="M44">
        <f t="shared" si="17"/>
        <v>0.029999999999999975</v>
      </c>
      <c r="N44">
        <f t="shared" si="18"/>
        <v>-0.0014492143886333355</v>
      </c>
      <c r="O44">
        <f t="shared" si="19"/>
        <v>0.005705023802220214</v>
      </c>
      <c r="P44">
        <f t="shared" si="20"/>
        <v>0.010597235888737061</v>
      </c>
      <c r="Q44">
        <f t="shared" si="21"/>
        <v>0.028550785611366678</v>
      </c>
      <c r="R44">
        <f t="shared" si="22"/>
        <v>0.030452460212106625</v>
      </c>
      <c r="S44">
        <f t="shared" si="23"/>
        <v>0.032354134812846824</v>
      </c>
      <c r="T44">
        <f t="shared" si="24"/>
        <v>0.03425580941358685</v>
      </c>
      <c r="U44">
        <f t="shared" si="25"/>
        <v>0.036157484014326884</v>
      </c>
      <c r="V44">
        <f t="shared" si="26"/>
        <v>0.03805915861506691</v>
      </c>
      <c r="W44" s="45">
        <f t="shared" si="7"/>
        <v>0.9231163463866358</v>
      </c>
      <c r="X44" s="45">
        <f t="shared" si="8"/>
        <v>1.0187845824658621</v>
      </c>
      <c r="Y44" s="45">
        <f t="shared" si="9"/>
        <v>0.9778912412807454</v>
      </c>
      <c r="Z44" s="45">
        <f t="shared" si="10"/>
        <v>0.9771682795618835</v>
      </c>
      <c r="AA44" s="45">
        <f t="shared" si="11"/>
        <v>0.9404567015209208</v>
      </c>
      <c r="AB44" s="45">
        <f t="shared" si="12"/>
        <v>0.9334742110378413</v>
      </c>
      <c r="AC44" s="45">
        <f t="shared" si="13"/>
        <v>0.9265435625728659</v>
      </c>
      <c r="AD44" s="45">
        <f t="shared" si="14"/>
        <v>0.9196643712210888</v>
      </c>
      <c r="AE44" s="45">
        <f t="shared" si="15"/>
        <v>0.9128362549353592</v>
      </c>
      <c r="AF44" s="45">
        <f t="shared" si="16"/>
        <v>0.9060588345050639</v>
      </c>
    </row>
    <row r="45" spans="1:32" ht="12.75">
      <c r="A45">
        <v>33</v>
      </c>
      <c r="B45">
        <f t="shared" si="4"/>
        <v>2.75</v>
      </c>
      <c r="C45">
        <f t="shared" si="29"/>
        <v>0.03</v>
      </c>
      <c r="D45">
        <f t="shared" si="29"/>
        <v>-0.0068077973730421276</v>
      </c>
      <c r="E45">
        <f t="shared" si="29"/>
        <v>0.008293860223361963</v>
      </c>
      <c r="F45">
        <f t="shared" si="29"/>
        <v>0.008716493671935867</v>
      </c>
      <c r="G45">
        <f t="shared" si="28"/>
        <v>0.02319220262695787</v>
      </c>
      <c r="H45">
        <f t="shared" si="28"/>
        <v>0.025956822701411857</v>
      </c>
      <c r="I45">
        <f t="shared" si="28"/>
        <v>0.028721442775865844</v>
      </c>
      <c r="J45">
        <f t="shared" si="28"/>
        <v>0.03148606285031983</v>
      </c>
      <c r="K45">
        <f t="shared" si="28"/>
        <v>0.03425068292477382</v>
      </c>
      <c r="L45">
        <f t="shared" si="5"/>
        <v>0.03701530299922781</v>
      </c>
      <c r="M45">
        <f t="shared" si="17"/>
        <v>0.029999999999999975</v>
      </c>
      <c r="N45">
        <f t="shared" si="18"/>
        <v>-0.0013333416038625843</v>
      </c>
      <c r="O45">
        <f t="shared" si="19"/>
        <v>0.0054155429850427554</v>
      </c>
      <c r="P45">
        <f t="shared" si="20"/>
        <v>0.01048748320830454</v>
      </c>
      <c r="Q45">
        <f t="shared" si="21"/>
        <v>0.028666658396137305</v>
      </c>
      <c r="R45">
        <f t="shared" si="22"/>
        <v>0.03047183939115161</v>
      </c>
      <c r="S45">
        <f t="shared" si="23"/>
        <v>0.032277020386165756</v>
      </c>
      <c r="T45">
        <f t="shared" si="24"/>
        <v>0.03408220138118006</v>
      </c>
      <c r="U45">
        <f t="shared" si="25"/>
        <v>0.0358873823761942</v>
      </c>
      <c r="V45">
        <f t="shared" si="26"/>
        <v>0.03769256337120867</v>
      </c>
      <c r="W45" s="45">
        <f t="shared" si="7"/>
        <v>0.9208114378568045</v>
      </c>
      <c r="X45" s="45">
        <f t="shared" si="8"/>
        <v>1.0188977877440646</v>
      </c>
      <c r="Y45" s="45">
        <f t="shared" si="9"/>
        <v>0.9774500231770632</v>
      </c>
      <c r="Z45" s="45">
        <f t="shared" si="10"/>
        <v>0.9763146496404786</v>
      </c>
      <c r="AA45" s="45">
        <f t="shared" si="11"/>
        <v>0.9382127369617295</v>
      </c>
      <c r="AB45" s="45">
        <f t="shared" si="12"/>
        <v>0.9311068283947196</v>
      </c>
      <c r="AC45" s="45">
        <f t="shared" si="13"/>
        <v>0.9240547391104518</v>
      </c>
      <c r="AD45" s="45">
        <f t="shared" si="14"/>
        <v>0.9170560614882582</v>
      </c>
      <c r="AE45" s="45">
        <f t="shared" si="15"/>
        <v>0.9101103909947404</v>
      </c>
      <c r="AF45" s="45">
        <f t="shared" si="16"/>
        <v>0.9032173261603861</v>
      </c>
    </row>
    <row r="46" spans="1:32" ht="12.75">
      <c r="A46">
        <v>34</v>
      </c>
      <c r="B46">
        <f t="shared" si="4"/>
        <v>2.833333333333333</v>
      </c>
      <c r="C46">
        <f t="shared" si="29"/>
        <v>0.03</v>
      </c>
      <c r="D46">
        <f t="shared" si="29"/>
        <v>-0.0066436484354652015</v>
      </c>
      <c r="E46">
        <f t="shared" si="29"/>
        <v>0.008200978503924905</v>
      </c>
      <c r="F46">
        <f t="shared" si="29"/>
        <v>0.0087650979451168</v>
      </c>
      <c r="G46">
        <f t="shared" si="28"/>
        <v>0.0233563515645348</v>
      </c>
      <c r="H46">
        <f t="shared" si="28"/>
        <v>0.026090011065843098</v>
      </c>
      <c r="I46">
        <f t="shared" si="28"/>
        <v>0.0288236705671514</v>
      </c>
      <c r="J46">
        <f t="shared" si="28"/>
        <v>0.031557330068459705</v>
      </c>
      <c r="K46">
        <f t="shared" si="28"/>
        <v>0.034290989569768004</v>
      </c>
      <c r="L46">
        <f aca="true" t="shared" si="30" ref="L46:L77">IF($A46&gt;$L$4,L45,L$6+L$7*((1-EXP(-$B46/L$9))/($B46/L$9))+L$8*((1-EXP(-$B46/L$9))/($B46/L$9)-EXP(-$B46/L$9)))</f>
        <v>0.037024649071076304</v>
      </c>
      <c r="M46">
        <f t="shared" si="17"/>
        <v>0.030000000000000134</v>
      </c>
      <c r="N46">
        <f t="shared" si="18"/>
        <v>-0.0012267334954266145</v>
      </c>
      <c r="O46">
        <f t="shared" si="19"/>
        <v>0.005135881762501991</v>
      </c>
      <c r="P46">
        <f t="shared" si="20"/>
        <v>0.010369038960087585</v>
      </c>
      <c r="Q46">
        <f t="shared" si="21"/>
        <v>0.028773266504573392</v>
      </c>
      <c r="R46">
        <f t="shared" si="22"/>
        <v>0.03048522709207396</v>
      </c>
      <c r="S46">
        <f t="shared" si="23"/>
        <v>0.03219718767957486</v>
      </c>
      <c r="T46">
        <f t="shared" si="24"/>
        <v>0.03390914826707559</v>
      </c>
      <c r="U46">
        <f t="shared" si="25"/>
        <v>0.035621108854576325</v>
      </c>
      <c r="V46">
        <f t="shared" si="26"/>
        <v>0.037333069442076726</v>
      </c>
      <c r="W46" s="45">
        <f t="shared" si="7"/>
        <v>0.9185122844014574</v>
      </c>
      <c r="X46" s="45">
        <f t="shared" si="8"/>
        <v>1.0190019527386394</v>
      </c>
      <c r="Y46" s="45">
        <f t="shared" si="9"/>
        <v>0.9770317737077908</v>
      </c>
      <c r="Z46" s="45">
        <f t="shared" si="10"/>
        <v>0.9754713936294289</v>
      </c>
      <c r="AA46" s="45">
        <f t="shared" si="11"/>
        <v>0.9359658114195135</v>
      </c>
      <c r="AB46" s="45">
        <f t="shared" si="12"/>
        <v>0.9287444135207985</v>
      </c>
      <c r="AC46" s="45">
        <f t="shared" si="13"/>
        <v>0.9215787319601968</v>
      </c>
      <c r="AD46" s="45">
        <f t="shared" si="14"/>
        <v>0.914468336861059</v>
      </c>
      <c r="AE46" s="45">
        <f t="shared" si="15"/>
        <v>0.9074128016634276</v>
      </c>
      <c r="AF46" s="45">
        <f t="shared" si="16"/>
        <v>0.9004117030984478</v>
      </c>
    </row>
    <row r="47" spans="1:32" ht="12.75">
      <c r="A47">
        <v>35</v>
      </c>
      <c r="B47">
        <f t="shared" si="4"/>
        <v>2.9166666666666665</v>
      </c>
      <c r="C47">
        <f t="shared" si="29"/>
        <v>0.03</v>
      </c>
      <c r="D47">
        <f t="shared" si="29"/>
        <v>-0.006486077031614938</v>
      </c>
      <c r="E47">
        <f t="shared" si="29"/>
        <v>0.008105702560737758</v>
      </c>
      <c r="F47">
        <f t="shared" si="29"/>
        <v>0.008807317871039772</v>
      </c>
      <c r="G47">
        <f t="shared" si="28"/>
        <v>0.02351392296838506</v>
      </c>
      <c r="H47">
        <f t="shared" si="28"/>
        <v>0.026215823821964312</v>
      </c>
      <c r="I47">
        <f t="shared" si="28"/>
        <v>0.028917724675543564</v>
      </c>
      <c r="J47">
        <f t="shared" si="28"/>
        <v>0.03161962552912281</v>
      </c>
      <c r="K47">
        <f t="shared" si="28"/>
        <v>0.03432152638270207</v>
      </c>
      <c r="L47">
        <f t="shared" si="30"/>
        <v>0.037023427236281325</v>
      </c>
      <c r="M47">
        <f t="shared" si="17"/>
        <v>0.029999999999999975</v>
      </c>
      <c r="N47">
        <f t="shared" si="18"/>
        <v>-0.0011286493007059953</v>
      </c>
      <c r="O47">
        <f t="shared" si="19"/>
        <v>0.004866320492374751</v>
      </c>
      <c r="P47">
        <f t="shared" si="20"/>
        <v>0.010242795352420824</v>
      </c>
      <c r="Q47">
        <f t="shared" si="21"/>
        <v>0.028871350699293977</v>
      </c>
      <c r="R47">
        <f t="shared" si="22"/>
        <v>0.030493457530085588</v>
      </c>
      <c r="S47">
        <f t="shared" si="23"/>
        <v>0.032115564360877036</v>
      </c>
      <c r="T47">
        <f t="shared" si="24"/>
        <v>0.03373767119166848</v>
      </c>
      <c r="U47">
        <f t="shared" si="25"/>
        <v>0.03535977802246026</v>
      </c>
      <c r="V47">
        <f t="shared" si="26"/>
        <v>0.03698188485325204</v>
      </c>
      <c r="W47" s="45">
        <f t="shared" si="7"/>
        <v>0.9162188716508777</v>
      </c>
      <c r="X47" s="45">
        <f t="shared" si="8"/>
        <v>1.0190977985660303</v>
      </c>
      <c r="Y47" s="45">
        <f t="shared" si="9"/>
        <v>0.9766356415557953</v>
      </c>
      <c r="Z47" s="45">
        <f t="shared" si="10"/>
        <v>0.9746391193924815</v>
      </c>
      <c r="AA47" s="45">
        <f t="shared" si="11"/>
        <v>0.9337166351040618</v>
      </c>
      <c r="AB47" s="45">
        <f t="shared" si="12"/>
        <v>0.9263873572115022</v>
      </c>
      <c r="AC47" s="45">
        <f t="shared" si="13"/>
        <v>0.9191156110286787</v>
      </c>
      <c r="AD47" s="45">
        <f t="shared" si="14"/>
        <v>0.9119009449561737</v>
      </c>
      <c r="AE47" s="45">
        <f t="shared" si="15"/>
        <v>0.9047429109394332</v>
      </c>
      <c r="AF47" s="45">
        <f t="shared" si="16"/>
        <v>0.8976410644409404</v>
      </c>
    </row>
    <row r="48" spans="1:32" ht="12.75">
      <c r="A48">
        <v>36</v>
      </c>
      <c r="B48">
        <f t="shared" si="4"/>
        <v>3</v>
      </c>
      <c r="C48">
        <f t="shared" si="29"/>
        <v>0.03</v>
      </c>
      <c r="D48">
        <f t="shared" si="29"/>
        <v>-0.006334752877547574</v>
      </c>
      <c r="E48">
        <f t="shared" si="29"/>
        <v>0.008008517265285441</v>
      </c>
      <c r="F48">
        <f t="shared" si="29"/>
        <v>0.00884349199257851</v>
      </c>
      <c r="G48">
        <f t="shared" si="28"/>
        <v>0.023665247122452424</v>
      </c>
      <c r="H48">
        <f t="shared" si="28"/>
        <v>0.026334752877547572</v>
      </c>
      <c r="I48">
        <f t="shared" si="28"/>
        <v>0.029004258632642718</v>
      </c>
      <c r="J48">
        <f t="shared" si="28"/>
        <v>0.03167376438773786</v>
      </c>
      <c r="K48">
        <f t="shared" si="28"/>
        <v>0.03434327014283301</v>
      </c>
      <c r="L48">
        <f t="shared" si="30"/>
        <v>0.03701277589792816</v>
      </c>
      <c r="M48">
        <f t="shared" si="17"/>
        <v>0.029999999999999975</v>
      </c>
      <c r="N48">
        <f t="shared" si="18"/>
        <v>-0.0010384074851897942</v>
      </c>
      <c r="O48">
        <f t="shared" si="19"/>
        <v>0.004607031924454378</v>
      </c>
      <c r="P48">
        <f t="shared" si="20"/>
        <v>0.010109586246434318</v>
      </c>
      <c r="Q48">
        <f t="shared" si="21"/>
        <v>0.02896159251481018</v>
      </c>
      <c r="R48">
        <f t="shared" si="22"/>
        <v>0.030497269822961637</v>
      </c>
      <c r="S48">
        <f t="shared" si="23"/>
        <v>0.0320329471311131</v>
      </c>
      <c r="T48">
        <f t="shared" si="24"/>
        <v>0.033568624439264554</v>
      </c>
      <c r="U48">
        <f t="shared" si="25"/>
        <v>0.035104301747416015</v>
      </c>
      <c r="V48">
        <f t="shared" si="26"/>
        <v>0.03663997905556731</v>
      </c>
      <c r="W48" s="45">
        <f t="shared" si="7"/>
        <v>0.9139311852712282</v>
      </c>
      <c r="X48" s="45">
        <f t="shared" si="8"/>
        <v>1.0191859889468875</v>
      </c>
      <c r="Y48" s="45">
        <f t="shared" si="9"/>
        <v>0.9762607642234591</v>
      </c>
      <c r="Z48" s="45">
        <f t="shared" si="10"/>
        <v>0.9738183653164766</v>
      </c>
      <c r="AA48" s="45">
        <f t="shared" si="11"/>
        <v>0.9314658588900578</v>
      </c>
      <c r="AB48" s="45">
        <f t="shared" si="12"/>
        <v>0.9240359893068806</v>
      </c>
      <c r="AC48" s="45">
        <f t="shared" si="13"/>
        <v>0.9166653843349567</v>
      </c>
      <c r="AD48" s="45">
        <f t="shared" si="14"/>
        <v>0.9093535712480686</v>
      </c>
      <c r="AE48" s="45">
        <f t="shared" si="15"/>
        <v>0.9021000810907153</v>
      </c>
      <c r="AF48" s="45">
        <f t="shared" si="16"/>
        <v>0.8949044486480358</v>
      </c>
    </row>
    <row r="49" spans="1:32" ht="12.75">
      <c r="A49">
        <v>37</v>
      </c>
      <c r="B49">
        <f t="shared" si="4"/>
        <v>3.083333333333333</v>
      </c>
      <c r="C49">
        <f t="shared" si="29"/>
        <v>0.03</v>
      </c>
      <c r="D49">
        <f t="shared" si="29"/>
        <v>-0.006189364448610023</v>
      </c>
      <c r="E49">
        <f t="shared" si="29"/>
        <v>0.00790985724773639</v>
      </c>
      <c r="F49">
        <f t="shared" si="29"/>
        <v>0.008873943301764081</v>
      </c>
      <c r="G49">
        <f t="shared" si="28"/>
        <v>0.023810635551389975</v>
      </c>
      <c r="H49">
        <f t="shared" si="28"/>
        <v>0.026447254633968773</v>
      </c>
      <c r="I49">
        <f t="shared" si="28"/>
        <v>0.029083873716547567</v>
      </c>
      <c r="J49">
        <f t="shared" si="28"/>
        <v>0.031720492799126365</v>
      </c>
      <c r="K49">
        <f t="shared" si="28"/>
        <v>0.03435711188170516</v>
      </c>
      <c r="L49">
        <f t="shared" si="30"/>
        <v>0.03699373096428396</v>
      </c>
      <c r="M49">
        <f t="shared" si="17"/>
        <v>0.029999999999999968</v>
      </c>
      <c r="N49">
        <f t="shared" si="18"/>
        <v>-0.0009553810068582031</v>
      </c>
      <c r="O49">
        <f t="shared" si="19"/>
        <v>0.004358096615970504</v>
      </c>
      <c r="P49">
        <f t="shared" si="20"/>
        <v>0.009970190432444674</v>
      </c>
      <c r="Q49">
        <f t="shared" si="21"/>
        <v>0.029044618993141806</v>
      </c>
      <c r="R49">
        <f t="shared" si="22"/>
        <v>0.030497317865132042</v>
      </c>
      <c r="S49">
        <f t="shared" si="23"/>
        <v>0.03195001673712228</v>
      </c>
      <c r="T49">
        <f t="shared" si="24"/>
        <v>0.03340271560911252</v>
      </c>
      <c r="U49">
        <f t="shared" si="25"/>
        <v>0.03485541448110259</v>
      </c>
      <c r="V49">
        <f t="shared" si="26"/>
        <v>0.03630811335309283</v>
      </c>
      <c r="W49" s="45">
        <f t="shared" si="7"/>
        <v>0.9116492109644617</v>
      </c>
      <c r="X49" s="45">
        <f t="shared" si="8"/>
        <v>1.0192671347550846</v>
      </c>
      <c r="Y49" s="45">
        <f t="shared" si="9"/>
        <v>0.9759062753703112</v>
      </c>
      <c r="Z49" s="45">
        <f t="shared" si="10"/>
        <v>0.973009605129478</v>
      </c>
      <c r="AA49" s="45">
        <f t="shared" si="11"/>
        <v>0.9292140791614806</v>
      </c>
      <c r="AB49" s="45">
        <f t="shared" si="12"/>
        <v>0.9216905859834994</v>
      </c>
      <c r="AC49" s="45">
        <f t="shared" si="13"/>
        <v>0.9142280076698842</v>
      </c>
      <c r="AD49" s="45">
        <f t="shared" si="14"/>
        <v>0.9068258510161339</v>
      </c>
      <c r="AE49" s="45">
        <f t="shared" si="15"/>
        <v>0.8994836268110363</v>
      </c>
      <c r="AF49" s="45">
        <f t="shared" si="16"/>
        <v>0.892200849804337</v>
      </c>
    </row>
    <row r="50" spans="1:32" ht="12.75">
      <c r="A50">
        <v>38</v>
      </c>
      <c r="B50">
        <f t="shared" si="4"/>
        <v>3.1666666666666665</v>
      </c>
      <c r="C50">
        <f t="shared" si="29"/>
        <v>0.03</v>
      </c>
      <c r="D50">
        <f t="shared" si="29"/>
        <v>-0.006049617830467729</v>
      </c>
      <c r="E50">
        <f t="shared" si="29"/>
        <v>0.0078101114404233</v>
      </c>
      <c r="F50">
        <f t="shared" si="29"/>
        <v>0.008898979918457074</v>
      </c>
      <c r="G50">
        <f t="shared" si="28"/>
        <v>0.02395038216953227</v>
      </c>
      <c r="H50">
        <f t="shared" si="28"/>
        <v>0.02655375264967337</v>
      </c>
      <c r="I50">
        <f t="shared" si="28"/>
        <v>0.029157123129814472</v>
      </c>
      <c r="J50">
        <f t="shared" si="28"/>
        <v>0.03176049360995557</v>
      </c>
      <c r="K50">
        <f t="shared" si="28"/>
        <v>0.034363864090096674</v>
      </c>
      <c r="L50">
        <f t="shared" si="30"/>
        <v>0.03696723457023777</v>
      </c>
      <c r="M50">
        <f t="shared" si="17"/>
        <v>0.029999999999999975</v>
      </c>
      <c r="N50">
        <f t="shared" si="18"/>
        <v>-0.0008789929592028496</v>
      </c>
      <c r="O50">
        <f t="shared" si="19"/>
        <v>0.004119516569838978</v>
      </c>
      <c r="P50">
        <f t="shared" si="20"/>
        <v>0.009825334736097781</v>
      </c>
      <c r="Q50">
        <f t="shared" si="21"/>
        <v>0.029121007040797123</v>
      </c>
      <c r="R50">
        <f t="shared" si="22"/>
        <v>0.03049417923074349</v>
      </c>
      <c r="S50">
        <f t="shared" si="23"/>
        <v>0.03186735142068986</v>
      </c>
      <c r="T50">
        <f t="shared" si="24"/>
        <v>0.03324052361063622</v>
      </c>
      <c r="U50">
        <f t="shared" si="25"/>
        <v>0.03461369580058259</v>
      </c>
      <c r="V50">
        <f t="shared" si="26"/>
        <v>0.03598686799052863</v>
      </c>
      <c r="W50" s="45">
        <f t="shared" si="7"/>
        <v>0.9093729344682314</v>
      </c>
      <c r="X50" s="45">
        <f t="shared" si="8"/>
        <v>1.0193417982091613</v>
      </c>
      <c r="Y50" s="45">
        <f t="shared" si="9"/>
        <v>0.9755713110297323</v>
      </c>
      <c r="Z50" s="45">
        <f t="shared" si="10"/>
        <v>0.972213252435972</v>
      </c>
      <c r="AA50" s="45">
        <f t="shared" si="11"/>
        <v>0.9269618422635888</v>
      </c>
      <c r="AB50" s="45">
        <f t="shared" si="12"/>
        <v>0.9193513762603075</v>
      </c>
      <c r="AC50" s="45">
        <f t="shared" si="13"/>
        <v>0.9118033930801007</v>
      </c>
      <c r="AD50" s="45">
        <f t="shared" si="14"/>
        <v>0.9043173797316252</v>
      </c>
      <c r="AE50" s="45">
        <f t="shared" si="15"/>
        <v>0.8968928274352568</v>
      </c>
      <c r="AF50" s="45">
        <f t="shared" si="16"/>
        <v>0.8895292315885122</v>
      </c>
    </row>
    <row r="51" spans="1:32" ht="12.75">
      <c r="A51">
        <v>39</v>
      </c>
      <c r="B51">
        <f t="shared" si="4"/>
        <v>3.25</v>
      </c>
      <c r="C51">
        <f t="shared" si="29"/>
        <v>0.03</v>
      </c>
      <c r="D51">
        <f t="shared" si="29"/>
        <v>-0.00591523564411248</v>
      </c>
      <c r="E51">
        <f t="shared" si="29"/>
        <v>0.007709627231217059</v>
      </c>
      <c r="F51">
        <f t="shared" si="29"/>
        <v>0.008918895740104441</v>
      </c>
      <c r="G51">
        <f t="shared" si="28"/>
        <v>0.02408476435588752</v>
      </c>
      <c r="H51">
        <f t="shared" si="28"/>
        <v>0.02665464009962654</v>
      </c>
      <c r="I51">
        <f t="shared" si="28"/>
        <v>0.029224515843365557</v>
      </c>
      <c r="J51">
        <f t="shared" si="28"/>
        <v>0.03179439158710458</v>
      </c>
      <c r="K51">
        <f t="shared" si="28"/>
        <v>0.0343642673308436</v>
      </c>
      <c r="L51">
        <f t="shared" si="30"/>
        <v>0.03693414307458262</v>
      </c>
      <c r="M51">
        <f t="shared" si="17"/>
        <v>0.03000000000000014</v>
      </c>
      <c r="N51">
        <f t="shared" si="18"/>
        <v>-0.0008087125626130273</v>
      </c>
      <c r="O51">
        <f t="shared" si="19"/>
        <v>0.0038912272813798957</v>
      </c>
      <c r="P51">
        <f t="shared" si="20"/>
        <v>0.009675696962704382</v>
      </c>
      <c r="Q51">
        <f t="shared" si="21"/>
        <v>0.02919128743738703</v>
      </c>
      <c r="R51">
        <f t="shared" si="22"/>
        <v>0.030488363197847035</v>
      </c>
      <c r="S51">
        <f t="shared" si="23"/>
        <v>0.03178543895830688</v>
      </c>
      <c r="T51">
        <f t="shared" si="24"/>
        <v>0.03308251471876672</v>
      </c>
      <c r="U51">
        <f t="shared" si="25"/>
        <v>0.03437959047922672</v>
      </c>
      <c r="V51">
        <f t="shared" si="26"/>
        <v>0.035676666239687065</v>
      </c>
      <c r="W51" s="45">
        <f t="shared" si="7"/>
        <v>0.9071023415558017</v>
      </c>
      <c r="X51" s="45">
        <f t="shared" si="8"/>
        <v>1.0194104967338427</v>
      </c>
      <c r="Y51" s="45">
        <f t="shared" si="9"/>
        <v>0.9752550148399847</v>
      </c>
      <c r="Z51" s="45">
        <f t="shared" si="10"/>
        <v>0.9714296649837308</v>
      </c>
      <c r="AA51" s="45">
        <f t="shared" si="11"/>
        <v>0.9247096485938316</v>
      </c>
      <c r="AB51" s="45">
        <f t="shared" si="12"/>
        <v>0.9170185477981064</v>
      </c>
      <c r="AC51" s="45">
        <f t="shared" si="13"/>
        <v>0.909391416305113</v>
      </c>
      <c r="AD51" s="45">
        <f t="shared" si="14"/>
        <v>0.9018277220620543</v>
      </c>
      <c r="AE51" s="45">
        <f t="shared" si="15"/>
        <v>0.8943269374413835</v>
      </c>
      <c r="AF51" s="45">
        <f t="shared" si="16"/>
        <v>0.8868885392039977</v>
      </c>
    </row>
    <row r="52" spans="1:32" ht="12.75">
      <c r="A52">
        <v>40</v>
      </c>
      <c r="B52">
        <f t="shared" si="4"/>
        <v>3.333333333333333</v>
      </c>
      <c r="C52">
        <f t="shared" si="29"/>
        <v>0.03</v>
      </c>
      <c r="D52">
        <f t="shared" si="29"/>
        <v>-0.005785956039916486</v>
      </c>
      <c r="E52">
        <f t="shared" si="29"/>
        <v>0.007608714259457156</v>
      </c>
      <c r="F52">
        <f t="shared" si="29"/>
        <v>0.00893397106379703</v>
      </c>
      <c r="G52">
        <f t="shared" si="28"/>
        <v>0.024214043960083514</v>
      </c>
      <c r="H52">
        <f t="shared" si="28"/>
        <v>0.02675028204656923</v>
      </c>
      <c r="I52">
        <f t="shared" si="28"/>
        <v>0.029286520133054952</v>
      </c>
      <c r="J52">
        <f t="shared" si="28"/>
        <v>0.03182275821954067</v>
      </c>
      <c r="K52">
        <f t="shared" si="28"/>
        <v>0.03435899630602639</v>
      </c>
      <c r="L52">
        <f t="shared" si="30"/>
        <v>0.036895234392512105</v>
      </c>
      <c r="M52">
        <f t="shared" si="17"/>
        <v>0.029999999999999968</v>
      </c>
      <c r="N52">
        <f t="shared" si="18"/>
        <v>-0.0007440514762727</v>
      </c>
      <c r="O52">
        <f t="shared" si="19"/>
        <v>0.0036731083608209777</v>
      </c>
      <c r="P52">
        <f t="shared" si="20"/>
        <v>0.00952190868780805</v>
      </c>
      <c r="Q52">
        <f t="shared" si="21"/>
        <v>0.02925594852372731</v>
      </c>
      <c r="R52">
        <f t="shared" si="22"/>
        <v>0.030480317977334245</v>
      </c>
      <c r="S52">
        <f t="shared" si="23"/>
        <v>0.03170468743094135</v>
      </c>
      <c r="T52">
        <f t="shared" si="24"/>
        <v>0.03292905688454829</v>
      </c>
      <c r="U52">
        <f t="shared" si="25"/>
        <v>0.03415342633815505</v>
      </c>
      <c r="V52">
        <f t="shared" si="26"/>
        <v>0.03537779579176199</v>
      </c>
      <c r="W52" s="45">
        <f t="shared" si="7"/>
        <v>0.9048374180359596</v>
      </c>
      <c r="X52" s="45">
        <f t="shared" si="8"/>
        <v>1.0194737065172133</v>
      </c>
      <c r="Y52" s="45">
        <f t="shared" si="9"/>
        <v>0.9749565424099691</v>
      </c>
      <c r="Z52" s="45">
        <f t="shared" si="10"/>
        <v>0.9706591486763557</v>
      </c>
      <c r="AA52" s="45">
        <f t="shared" si="11"/>
        <v>0.9224579563605848</v>
      </c>
      <c r="AB52" s="45">
        <f t="shared" si="12"/>
        <v>0.9146922520645627</v>
      </c>
      <c r="AC52" s="45">
        <f t="shared" si="13"/>
        <v>0.9069919232827279</v>
      </c>
      <c r="AD52" s="45">
        <f t="shared" si="14"/>
        <v>0.8993564196518818</v>
      </c>
      <c r="AE52" s="45">
        <f t="shared" si="15"/>
        <v>0.8917851954420539</v>
      </c>
      <c r="AF52" s="45">
        <f t="shared" si="16"/>
        <v>0.8842777095174963</v>
      </c>
    </row>
    <row r="53" spans="1:32" ht="12.75">
      <c r="A53">
        <v>41</v>
      </c>
      <c r="B53">
        <f t="shared" si="4"/>
        <v>3.4166666666666665</v>
      </c>
      <c r="C53">
        <f aca="true" t="shared" si="31" ref="C53:F73">C$6+C$7*((1-EXP(-$B53/C$9))/($B53/C$9))+C$8*((1-EXP(-$B53/C$9))/($B53/C$9)-EXP(-$B53/C$9))</f>
        <v>0.03</v>
      </c>
      <c r="D53">
        <f t="shared" si="31"/>
        <v>-0.0056615317561366065</v>
      </c>
      <c r="E53">
        <f t="shared" si="31"/>
        <v>0.007507647884405012</v>
      </c>
      <c r="F53">
        <f t="shared" si="31"/>
        <v>0.008944473181792726</v>
      </c>
      <c r="G53">
        <f t="shared" si="28"/>
        <v>0.024338468243863393</v>
      </c>
      <c r="H53">
        <f t="shared" si="28"/>
        <v>0.026841017538665066</v>
      </c>
      <c r="I53">
        <f t="shared" si="28"/>
        <v>0.029343566833466735</v>
      </c>
      <c r="J53">
        <f t="shared" si="28"/>
        <v>0.031846116128268404</v>
      </c>
      <c r="K53">
        <f t="shared" si="28"/>
        <v>0.03434866542307008</v>
      </c>
      <c r="L53">
        <f t="shared" si="30"/>
        <v>0.03685121471787175</v>
      </c>
      <c r="M53">
        <f t="shared" si="17"/>
        <v>0.029999999999999975</v>
      </c>
      <c r="N53">
        <f t="shared" si="18"/>
        <v>-0.0006845604049414688</v>
      </c>
      <c r="O53">
        <f t="shared" si="19"/>
        <v>0.0034649928823192256</v>
      </c>
      <c r="P53">
        <f t="shared" si="20"/>
        <v>0.009364557901620562</v>
      </c>
      <c r="Q53">
        <f t="shared" si="21"/>
        <v>0.02931543959505867</v>
      </c>
      <c r="R53">
        <f t="shared" si="22"/>
        <v>0.030470437222498425</v>
      </c>
      <c r="S53">
        <f t="shared" si="23"/>
        <v>0.03162543484993802</v>
      </c>
      <c r="T53">
        <f t="shared" si="24"/>
        <v>0.032780432477377774</v>
      </c>
      <c r="U53">
        <f t="shared" si="25"/>
        <v>0.03393543010481786</v>
      </c>
      <c r="V53">
        <f t="shared" si="26"/>
        <v>0.03509042773225745</v>
      </c>
      <c r="W53" s="45">
        <f t="shared" si="7"/>
        <v>0.9025781497529256</v>
      </c>
      <c r="X53" s="45">
        <f t="shared" si="8"/>
        <v>1.0195318657872081</v>
      </c>
      <c r="Y53" s="45">
        <f t="shared" si="9"/>
        <v>0.9746750649268178</v>
      </c>
      <c r="Z53" s="45">
        <f t="shared" si="10"/>
        <v>0.9699019613449313</v>
      </c>
      <c r="AA53" s="45">
        <f t="shared" si="11"/>
        <v>0.9202071850363662</v>
      </c>
      <c r="AB53" s="45">
        <f t="shared" si="12"/>
        <v>0.912372608929716</v>
      </c>
      <c r="AC53" s="45">
        <f t="shared" si="13"/>
        <v>0.9046047358262252</v>
      </c>
      <c r="AD53" s="45">
        <f t="shared" si="14"/>
        <v>0.8969029978214446</v>
      </c>
      <c r="AE53" s="45">
        <f t="shared" si="15"/>
        <v>0.8892668318460211</v>
      </c>
      <c r="AF53" s="45">
        <f t="shared" si="16"/>
        <v>0.881695679624533</v>
      </c>
    </row>
    <row r="54" spans="1:32" ht="12.75">
      <c r="A54">
        <v>42</v>
      </c>
      <c r="B54">
        <f t="shared" si="4"/>
        <v>3.5</v>
      </c>
      <c r="C54">
        <f t="shared" si="31"/>
        <v>0.03</v>
      </c>
      <c r="D54">
        <f t="shared" si="31"/>
        <v>-0.005541729237586751</v>
      </c>
      <c r="E54">
        <f t="shared" si="31"/>
        <v>0.007406672353710571</v>
      </c>
      <c r="F54">
        <f t="shared" si="31"/>
        <v>0.008950656951621873</v>
      </c>
      <c r="G54">
        <f t="shared" si="28"/>
        <v>0.024458270762413248</v>
      </c>
      <c r="H54">
        <f t="shared" si="28"/>
        <v>0.02692716154698344</v>
      </c>
      <c r="I54">
        <f t="shared" si="28"/>
        <v>0.02939605233155363</v>
      </c>
      <c r="J54">
        <f t="shared" si="28"/>
        <v>0.03186494311612382</v>
      </c>
      <c r="K54">
        <f t="shared" si="28"/>
        <v>0.034333833900694014</v>
      </c>
      <c r="L54">
        <f t="shared" si="30"/>
        <v>0.0368027246852642</v>
      </c>
      <c r="M54">
        <f t="shared" si="17"/>
        <v>0.029999999999999975</v>
      </c>
      <c r="N54">
        <f t="shared" si="18"/>
        <v>-0.0006298259770426684</v>
      </c>
      <c r="O54">
        <f t="shared" si="19"/>
        <v>0.0032666755952385023</v>
      </c>
      <c r="P54">
        <f t="shared" si="20"/>
        <v>0.009204191514616903</v>
      </c>
      <c r="Q54">
        <f t="shared" si="21"/>
        <v>0.029370174022957222</v>
      </c>
      <c r="R54">
        <f t="shared" si="22"/>
        <v>0.030459065888036707</v>
      </c>
      <c r="S54">
        <f t="shared" si="23"/>
        <v>0.03154795775311636</v>
      </c>
      <c r="T54">
        <f t="shared" si="24"/>
        <v>0.03263684961819585</v>
      </c>
      <c r="U54">
        <f t="shared" si="25"/>
        <v>0.03372574148327533</v>
      </c>
      <c r="V54">
        <f t="shared" si="26"/>
        <v>0.03481463334835482</v>
      </c>
      <c r="W54" s="45">
        <f t="shared" si="7"/>
        <v>0.9003245225862656</v>
      </c>
      <c r="X54" s="45">
        <f t="shared" si="8"/>
        <v>1.01958537782929</v>
      </c>
      <c r="Y54" s="45">
        <f t="shared" si="9"/>
        <v>0.9744097721005325</v>
      </c>
      <c r="Z54" s="45">
        <f t="shared" si="10"/>
        <v>0.9691583162916496</v>
      </c>
      <c r="AA54" s="45">
        <f t="shared" si="11"/>
        <v>0.9179577185300929</v>
      </c>
      <c r="AB54" s="45">
        <f t="shared" si="12"/>
        <v>0.9100597107505982</v>
      </c>
      <c r="AC54" s="45">
        <f t="shared" si="13"/>
        <v>0.9022296565659432</v>
      </c>
      <c r="AD54" s="45">
        <f t="shared" si="14"/>
        <v>0.8944669713108325</v>
      </c>
      <c r="AE54" s="45">
        <f t="shared" si="15"/>
        <v>0.8867710753503669</v>
      </c>
      <c r="AF54" s="45">
        <f t="shared" si="16"/>
        <v>0.8791413940367625</v>
      </c>
    </row>
    <row r="55" spans="1:32" ht="12.75">
      <c r="A55">
        <v>43</v>
      </c>
      <c r="B55">
        <f t="shared" si="4"/>
        <v>3.583333333333333</v>
      </c>
      <c r="C55">
        <f t="shared" si="31"/>
        <v>0.03</v>
      </c>
      <c r="D55">
        <f t="shared" si="31"/>
        <v>-0.005426327810488609</v>
      </c>
      <c r="E55">
        <f t="shared" si="31"/>
        <v>0.007306003697109186</v>
      </c>
      <c r="F55">
        <f t="shared" si="31"/>
        <v>0.008952765341844825</v>
      </c>
      <c r="G55">
        <f t="shared" si="28"/>
        <v>0.02457367218951139</v>
      </c>
      <c r="H55">
        <f t="shared" si="28"/>
        <v>0.027009006755214452</v>
      </c>
      <c r="I55">
        <f t="shared" si="28"/>
        <v>0.029444341320917514</v>
      </c>
      <c r="J55">
        <f t="shared" si="28"/>
        <v>0.03187967588662058</v>
      </c>
      <c r="K55">
        <f t="shared" si="28"/>
        <v>0.03431501045232364</v>
      </c>
      <c r="L55">
        <f t="shared" si="30"/>
        <v>0.0367503450180267</v>
      </c>
      <c r="M55">
        <f t="shared" si="17"/>
        <v>0.029999999999999968</v>
      </c>
      <c r="N55">
        <f t="shared" si="18"/>
        <v>-0.0005794678723666395</v>
      </c>
      <c r="O55">
        <f t="shared" si="19"/>
        <v>0.003077920119851013</v>
      </c>
      <c r="P55">
        <f t="shared" si="20"/>
        <v>0.009041317731208786</v>
      </c>
      <c r="Q55">
        <f t="shared" si="21"/>
        <v>0.02942053212763345</v>
      </c>
      <c r="R55">
        <f t="shared" si="22"/>
        <v>0.030446505500916984</v>
      </c>
      <c r="S55">
        <f t="shared" si="23"/>
        <v>0.031472478874200516</v>
      </c>
      <c r="T55">
        <f t="shared" si="24"/>
        <v>0.032498452247484384</v>
      </c>
      <c r="U55">
        <f t="shared" si="25"/>
        <v>0.033524425620767746</v>
      </c>
      <c r="V55">
        <f t="shared" si="26"/>
        <v>0.03455039899405178</v>
      </c>
      <c r="W55" s="45">
        <f t="shared" si="7"/>
        <v>0.8980765224508026</v>
      </c>
      <c r="X55" s="45">
        <f t="shared" si="8"/>
        <v>1.019634613765523</v>
      </c>
      <c r="Y55" s="45">
        <f t="shared" si="9"/>
        <v>0.9741598745302236</v>
      </c>
      <c r="Z55" s="45">
        <f t="shared" si="10"/>
        <v>0.9684283856176914</v>
      </c>
      <c r="AA55" s="45">
        <f t="shared" si="11"/>
        <v>0.915709908101008</v>
      </c>
      <c r="AB55" s="45">
        <f t="shared" si="12"/>
        <v>0.9077536259978297</v>
      </c>
      <c r="AC55" s="45">
        <f t="shared" si="13"/>
        <v>0.8998664732382846</v>
      </c>
      <c r="AD55" s="45">
        <f t="shared" si="14"/>
        <v>0.8920478491817605</v>
      </c>
      <c r="AE55" s="45">
        <f t="shared" si="15"/>
        <v>0.8842971584064013</v>
      </c>
      <c r="AF55" s="45">
        <f t="shared" si="16"/>
        <v>0.8766138106637621</v>
      </c>
    </row>
    <row r="56" spans="1:32" ht="12.75">
      <c r="A56">
        <v>44</v>
      </c>
      <c r="B56">
        <f t="shared" si="4"/>
        <v>3.6666666666666665</v>
      </c>
      <c r="C56">
        <f t="shared" si="31"/>
        <v>0.03</v>
      </c>
      <c r="D56">
        <f t="shared" si="31"/>
        <v>-0.0053151189097826864</v>
      </c>
      <c r="E56">
        <f t="shared" si="31"/>
        <v>0.007205832368478808</v>
      </c>
      <c r="F56">
        <f t="shared" si="31"/>
        <v>0.00895102995448692</v>
      </c>
      <c r="G56">
        <f t="shared" si="28"/>
        <v>0.02468488109021731</v>
      </c>
      <c r="H56">
        <f t="shared" si="28"/>
        <v>0.02708682521304358</v>
      </c>
      <c r="I56">
        <f t="shared" si="28"/>
        <v>0.02948876933586985</v>
      </c>
      <c r="J56">
        <f t="shared" si="28"/>
        <v>0.03189071345869612</v>
      </c>
      <c r="K56">
        <f t="shared" si="28"/>
        <v>0.03429265758152239</v>
      </c>
      <c r="L56">
        <f t="shared" si="30"/>
        <v>0.036694601704348656</v>
      </c>
      <c r="M56">
        <f t="shared" si="17"/>
        <v>0.029999999999999975</v>
      </c>
      <c r="N56">
        <f t="shared" si="18"/>
        <v>-0.0005331361794280028</v>
      </c>
      <c r="O56">
        <f t="shared" si="19"/>
        <v>0.0028984652373725637</v>
      </c>
      <c r="P56">
        <f t="shared" si="20"/>
        <v>0.008876408298096978</v>
      </c>
      <c r="Q56">
        <f t="shared" si="21"/>
        <v>0.029466863820571846</v>
      </c>
      <c r="R56">
        <f t="shared" si="22"/>
        <v>0.030433018899696185</v>
      </c>
      <c r="S56">
        <f t="shared" si="23"/>
        <v>0.03139917397882036</v>
      </c>
      <c r="T56">
        <f t="shared" si="24"/>
        <v>0.03236532905794437</v>
      </c>
      <c r="U56">
        <f t="shared" si="25"/>
        <v>0.033331484137068705</v>
      </c>
      <c r="V56">
        <f t="shared" si="26"/>
        <v>0.03429763921619238</v>
      </c>
      <c r="W56" s="45">
        <f t="shared" si="7"/>
        <v>0.8958341352965282</v>
      </c>
      <c r="X56" s="45">
        <f t="shared" si="8"/>
        <v>1.0196799151137061</v>
      </c>
      <c r="Y56" s="45">
        <f t="shared" si="9"/>
        <v>0.9739246055669912</v>
      </c>
      <c r="Z56" s="45">
        <f t="shared" si="10"/>
        <v>0.9677123033471001</v>
      </c>
      <c r="AA56" s="45">
        <f t="shared" si="11"/>
        <v>0.9134640750351244</v>
      </c>
      <c r="AB56" s="45">
        <f t="shared" si="12"/>
        <v>0.9054544024718486</v>
      </c>
      <c r="AC56" s="45">
        <f t="shared" si="13"/>
        <v>0.8975149623964443</v>
      </c>
      <c r="AD56" s="45">
        <f t="shared" si="14"/>
        <v>0.8896451389782001</v>
      </c>
      <c r="AE56" s="45">
        <f t="shared" si="15"/>
        <v>0.8818443217862909</v>
      </c>
      <c r="AF56" s="45">
        <f t="shared" si="16"/>
        <v>0.87411190574243</v>
      </c>
    </row>
    <row r="57" spans="1:32" ht="12.75">
      <c r="A57">
        <v>45</v>
      </c>
      <c r="B57">
        <f t="shared" si="4"/>
        <v>3.75</v>
      </c>
      <c r="C57">
        <f t="shared" si="31"/>
        <v>0.03</v>
      </c>
      <c r="D57">
        <f t="shared" si="31"/>
        <v>-0.005207905355434618</v>
      </c>
      <c r="E57">
        <f t="shared" si="31"/>
        <v>0.007106325657471654</v>
      </c>
      <c r="F57">
        <f t="shared" si="31"/>
        <v>0.00894567152513329</v>
      </c>
      <c r="G57">
        <f t="shared" si="28"/>
        <v>0.02479209464456538</v>
      </c>
      <c r="H57">
        <f t="shared" si="28"/>
        <v>0.027160869863722598</v>
      </c>
      <c r="I57">
        <f t="shared" si="28"/>
        <v>0.029529645082879818</v>
      </c>
      <c r="J57">
        <f t="shared" si="28"/>
        <v>0.03189842030203703</v>
      </c>
      <c r="K57">
        <f t="shared" si="28"/>
        <v>0.034267195521194255</v>
      </c>
      <c r="L57">
        <f t="shared" si="30"/>
        <v>0.03663597074035147</v>
      </c>
      <c r="M57">
        <f t="shared" si="17"/>
        <v>0.029999999999999975</v>
      </c>
      <c r="N57">
        <f t="shared" si="18"/>
        <v>-0.000490508964119645</v>
      </c>
      <c r="O57">
        <f t="shared" si="19"/>
        <v>0.002728030373156854</v>
      </c>
      <c r="P57">
        <f t="shared" si="20"/>
        <v>0.008709900633573587</v>
      </c>
      <c r="Q57">
        <f t="shared" si="21"/>
        <v>0.029509491035880412</v>
      </c>
      <c r="R57">
        <f t="shared" si="22"/>
        <v>0.030418834493599334</v>
      </c>
      <c r="S57">
        <f t="shared" si="23"/>
        <v>0.031328177951318426</v>
      </c>
      <c r="T57">
        <f t="shared" si="24"/>
        <v>0.032237521409037184</v>
      </c>
      <c r="U57">
        <f t="shared" si="25"/>
        <v>0.033146864866756276</v>
      </c>
      <c r="V57">
        <f t="shared" si="26"/>
        <v>0.03405620832447536</v>
      </c>
      <c r="W57" s="45">
        <f t="shared" si="7"/>
        <v>0.8935973471085157</v>
      </c>
      <c r="X57" s="45">
        <f t="shared" si="8"/>
        <v>1.0197215961438133</v>
      </c>
      <c r="Y57" s="45">
        <f t="shared" si="9"/>
        <v>0.9737032227399769</v>
      </c>
      <c r="Z57" s="45">
        <f t="shared" si="10"/>
        <v>0.9670101683578379</v>
      </c>
      <c r="AA57" s="45">
        <f t="shared" si="11"/>
        <v>0.9112205131033728</v>
      </c>
      <c r="AB57" s="45">
        <f t="shared" si="12"/>
        <v>0.9031620701517108</v>
      </c>
      <c r="AC57" s="45">
        <f t="shared" si="13"/>
        <v>0.8951748926093227</v>
      </c>
      <c r="AD57" s="45">
        <f t="shared" si="14"/>
        <v>0.8872583502355296</v>
      </c>
      <c r="AE57" s="45">
        <f t="shared" si="15"/>
        <v>0.8794118183632299</v>
      </c>
      <c r="AF57" s="45">
        <f t="shared" si="16"/>
        <v>0.8716346778496104</v>
      </c>
    </row>
    <row r="58" spans="1:32" ht="12.75">
      <c r="A58">
        <v>46</v>
      </c>
      <c r="B58">
        <f t="shared" si="4"/>
        <v>3.833333333333333</v>
      </c>
      <c r="C58">
        <f t="shared" si="31"/>
        <v>0.03</v>
      </c>
      <c r="D58">
        <f t="shared" si="31"/>
        <v>-0.005104500674506993</v>
      </c>
      <c r="E58">
        <f t="shared" si="31"/>
        <v>0.007007629890175697</v>
      </c>
      <c r="F58">
        <f t="shared" si="31"/>
        <v>0.00893690040162497</v>
      </c>
      <c r="G58">
        <f t="shared" si="28"/>
        <v>0.024895499325493006</v>
      </c>
      <c r="H58">
        <f t="shared" si="28"/>
        <v>0.02723137595555157</v>
      </c>
      <c r="I58">
        <f t="shared" si="28"/>
        <v>0.02956725258561014</v>
      </c>
      <c r="J58">
        <f t="shared" si="28"/>
        <v>0.0319031292156687</v>
      </c>
      <c r="K58">
        <f t="shared" si="28"/>
        <v>0.03423900584572727</v>
      </c>
      <c r="L58">
        <f t="shared" si="30"/>
        <v>0.03657488247578583</v>
      </c>
      <c r="M58">
        <f t="shared" si="17"/>
        <v>0.030000000000000134</v>
      </c>
      <c r="N58">
        <f t="shared" si="18"/>
        <v>-0.0004512900327638558</v>
      </c>
      <c r="O58">
        <f t="shared" si="19"/>
        <v>0.0025663203618576332</v>
      </c>
      <c r="P58">
        <f t="shared" si="20"/>
        <v>0.0085421998437506</v>
      </c>
      <c r="Q58">
        <f t="shared" si="21"/>
        <v>0.029548709967236235</v>
      </c>
      <c r="R58">
        <f t="shared" si="22"/>
        <v>0.030404150087855294</v>
      </c>
      <c r="S58">
        <f t="shared" si="23"/>
        <v>0.03125959020847452</v>
      </c>
      <c r="T58">
        <f t="shared" si="24"/>
        <v>0.03211503032909391</v>
      </c>
      <c r="U58">
        <f t="shared" si="25"/>
        <v>0.032970470449713137</v>
      </c>
      <c r="V58">
        <f t="shared" si="26"/>
        <v>0.033825910570332025</v>
      </c>
      <c r="W58" s="45">
        <f t="shared" si="7"/>
        <v>0.8913661439068313</v>
      </c>
      <c r="X58" s="45">
        <f t="shared" si="8"/>
        <v>1.019759946047642</v>
      </c>
      <c r="Y58" s="45">
        <f t="shared" si="9"/>
        <v>0.9734950088045128</v>
      </c>
      <c r="Z58" s="45">
        <f t="shared" si="10"/>
        <v>0.9663220471306846</v>
      </c>
      <c r="AA58" s="45">
        <f t="shared" si="11"/>
        <v>0.9089794908191251</v>
      </c>
      <c r="AB58" s="45">
        <f t="shared" si="12"/>
        <v>0.9008766437151281</v>
      </c>
      <c r="AC58" s="45">
        <f t="shared" si="13"/>
        <v>0.8928460272080301</v>
      </c>
      <c r="AD58" s="45">
        <f t="shared" si="14"/>
        <v>0.8848869974180857</v>
      </c>
      <c r="AE58" s="45">
        <f t="shared" si="15"/>
        <v>0.8769989162052385</v>
      </c>
      <c r="AF58" s="45">
        <f t="shared" si="16"/>
        <v>0.8691811511179555</v>
      </c>
    </row>
    <row r="59" spans="1:32" ht="12.75">
      <c r="A59">
        <v>47</v>
      </c>
      <c r="B59">
        <f t="shared" si="4"/>
        <v>3.9166666666666665</v>
      </c>
      <c r="C59">
        <f t="shared" si="31"/>
        <v>0.03</v>
      </c>
      <c r="D59">
        <f t="shared" si="31"/>
        <v>-0.005004728465986041</v>
      </c>
      <c r="E59">
        <f t="shared" si="31"/>
        <v>0.006909872436647052</v>
      </c>
      <c r="F59">
        <f t="shared" si="31"/>
        <v>0.008924917002258352</v>
      </c>
      <c r="G59">
        <f t="shared" si="28"/>
        <v>0.024995271534013958</v>
      </c>
      <c r="H59">
        <f t="shared" si="28"/>
        <v>0.02729856234622964</v>
      </c>
      <c r="I59">
        <f t="shared" si="28"/>
        <v>0.029601853158445324</v>
      </c>
      <c r="J59">
        <f t="shared" si="28"/>
        <v>0.03190514397066101</v>
      </c>
      <c r="K59">
        <f t="shared" si="28"/>
        <v>0.03420843478287669</v>
      </c>
      <c r="L59">
        <f t="shared" si="30"/>
        <v>0.03651172559509238</v>
      </c>
      <c r="M59">
        <f t="shared" si="17"/>
        <v>0.029999999999999975</v>
      </c>
      <c r="N59">
        <f t="shared" si="18"/>
        <v>-0.0004152068740222579</v>
      </c>
      <c r="O59">
        <f t="shared" si="19"/>
        <v>0.00241302957432941</v>
      </c>
      <c r="P59">
        <f t="shared" si="20"/>
        <v>0.008373680631393944</v>
      </c>
      <c r="Q59">
        <f t="shared" si="21"/>
        <v>0.029584793125977674</v>
      </c>
      <c r="R59">
        <f t="shared" si="22"/>
        <v>0.030389136317420906</v>
      </c>
      <c r="S59">
        <f t="shared" si="23"/>
        <v>0.03119347950886381</v>
      </c>
      <c r="T59">
        <f t="shared" si="24"/>
        <v>0.031997822700307044</v>
      </c>
      <c r="U59">
        <f t="shared" si="25"/>
        <v>0.032802165891749946</v>
      </c>
      <c r="V59">
        <f t="shared" si="26"/>
        <v>0.033606509083193674</v>
      </c>
      <c r="W59" s="45">
        <f t="shared" si="7"/>
        <v>0.889140511746448</v>
      </c>
      <c r="X59" s="45">
        <f t="shared" si="8"/>
        <v>1.019795230936365</v>
      </c>
      <c r="Y59" s="45">
        <f t="shared" si="9"/>
        <v>0.9732992724645124</v>
      </c>
      <c r="Z59" s="45">
        <f t="shared" si="10"/>
        <v>0.9656479763261263</v>
      </c>
      <c r="AA59" s="45">
        <f t="shared" si="11"/>
        <v>0.9067412535113467</v>
      </c>
      <c r="AB59" s="45">
        <f t="shared" si="12"/>
        <v>0.8985981247645476</v>
      </c>
      <c r="AC59" s="45">
        <f t="shared" si="13"/>
        <v>0.8905281266330483</v>
      </c>
      <c r="AD59" s="45">
        <f t="shared" si="14"/>
        <v>0.8825306023561538</v>
      </c>
      <c r="AE59" s="45">
        <f t="shared" si="15"/>
        <v>0.8746049010713093</v>
      </c>
      <c r="AF59" s="45">
        <f t="shared" si="16"/>
        <v>0.866750377761131</v>
      </c>
    </row>
    <row r="60" spans="1:32" ht="12.75">
      <c r="A60">
        <v>48</v>
      </c>
      <c r="B60">
        <f t="shared" si="4"/>
        <v>4</v>
      </c>
      <c r="C60">
        <f t="shared" si="31"/>
        <v>0.03</v>
      </c>
      <c r="D60">
        <f t="shared" si="31"/>
        <v>-0.004908421805556329</v>
      </c>
      <c r="E60">
        <f t="shared" si="31"/>
        <v>0.006813163541672468</v>
      </c>
      <c r="F60">
        <f t="shared" si="31"/>
        <v>0.008909912254352429</v>
      </c>
      <c r="G60">
        <f t="shared" si="28"/>
        <v>0.02509157819444367</v>
      </c>
      <c r="H60">
        <f t="shared" si="28"/>
        <v>0.027362632708334493</v>
      </c>
      <c r="I60">
        <f t="shared" si="28"/>
        <v>0.029633687222225313</v>
      </c>
      <c r="J60">
        <f t="shared" si="28"/>
        <v>0.03190474173611614</v>
      </c>
      <c r="K60">
        <f t="shared" si="28"/>
        <v>0.03417579625000696</v>
      </c>
      <c r="L60">
        <f t="shared" si="30"/>
        <v>0.03644685076389778</v>
      </c>
      <c r="M60">
        <f t="shared" si="17"/>
        <v>0.029999999999999975</v>
      </c>
      <c r="N60">
        <f t="shared" si="18"/>
        <v>-0.0003820087653598335</v>
      </c>
      <c r="O60">
        <f t="shared" si="19"/>
        <v>0.0022678454778670104</v>
      </c>
      <c r="P60">
        <f t="shared" si="20"/>
        <v>0.008204689102773985</v>
      </c>
      <c r="Q60">
        <f t="shared" si="21"/>
        <v>0.0296179912346401</v>
      </c>
      <c r="R60">
        <f t="shared" si="22"/>
        <v>0.03037393972726249</v>
      </c>
      <c r="S60">
        <f t="shared" si="23"/>
        <v>0.031129888219884883</v>
      </c>
      <c r="T60">
        <f t="shared" si="24"/>
        <v>0.03188583671250744</v>
      </c>
      <c r="U60">
        <f t="shared" si="25"/>
        <v>0.03264178520512967</v>
      </c>
      <c r="V60">
        <f t="shared" si="26"/>
        <v>0.03339773369775172</v>
      </c>
      <c r="W60" s="45">
        <f t="shared" si="7"/>
        <v>0.8869204367171575</v>
      </c>
      <c r="X60" s="45">
        <f t="shared" si="8"/>
        <v>1.0198276956795287</v>
      </c>
      <c r="Y60" s="45">
        <f t="shared" si="9"/>
        <v>0.973115348815188</v>
      </c>
      <c r="Z60" s="45">
        <f t="shared" si="10"/>
        <v>0.9649879651988859</v>
      </c>
      <c r="AA60" s="45">
        <f t="shared" si="11"/>
        <v>0.90450602522834</v>
      </c>
      <c r="AB60" s="45">
        <f t="shared" si="12"/>
        <v>0.8963265037905822</v>
      </c>
      <c r="AC60" s="45">
        <f t="shared" si="13"/>
        <v>0.8882209504294152</v>
      </c>
      <c r="AD60" s="45">
        <f t="shared" si="14"/>
        <v>0.8801886962455153</v>
      </c>
      <c r="AE60" s="45">
        <f t="shared" si="15"/>
        <v>0.8722290783884704</v>
      </c>
      <c r="AF60" s="45">
        <f t="shared" si="16"/>
        <v>0.8643414400020781</v>
      </c>
    </row>
    <row r="61" spans="1:32" ht="12.75">
      <c r="A61">
        <v>49</v>
      </c>
      <c r="B61">
        <f t="shared" si="4"/>
        <v>4.083333333333333</v>
      </c>
      <c r="C61">
        <f t="shared" si="31"/>
        <v>0.03</v>
      </c>
      <c r="D61">
        <f t="shared" si="31"/>
        <v>-0.00481542268770638</v>
      </c>
      <c r="E61">
        <f t="shared" si="31"/>
        <v>0.006717597993761144</v>
      </c>
      <c r="F61">
        <f t="shared" si="31"/>
        <v>0.008892068014012057</v>
      </c>
      <c r="G61">
        <f t="shared" si="28"/>
        <v>0.025184577312293618</v>
      </c>
      <c r="H61">
        <f t="shared" si="28"/>
        <v>0.027423776643547334</v>
      </c>
      <c r="I61">
        <f t="shared" si="28"/>
        <v>0.029662975974801047</v>
      </c>
      <c r="J61">
        <f t="shared" si="28"/>
        <v>0.03190217530605476</v>
      </c>
      <c r="K61">
        <f t="shared" si="28"/>
        <v>0.03414137463730848</v>
      </c>
      <c r="L61">
        <f t="shared" si="30"/>
        <v>0.03638057396856219</v>
      </c>
      <c r="M61">
        <f t="shared" si="17"/>
        <v>0.029999999999999968</v>
      </c>
      <c r="N61">
        <f t="shared" si="18"/>
        <v>-0.00035146503090884143</v>
      </c>
      <c r="O61">
        <f t="shared" si="19"/>
        <v>0.0021304516940175784</v>
      </c>
      <c r="P61">
        <f t="shared" si="20"/>
        <v>0.008035544477674156</v>
      </c>
      <c r="Q61">
        <f t="shared" si="21"/>
        <v>0.029648534969091082</v>
      </c>
      <c r="R61">
        <f t="shared" si="22"/>
        <v>0.030358685533763637</v>
      </c>
      <c r="S61">
        <f t="shared" si="23"/>
        <v>0.031068836098436192</v>
      </c>
      <c r="T61">
        <f t="shared" si="24"/>
        <v>0.031778986663108744</v>
      </c>
      <c r="U61">
        <f t="shared" si="25"/>
        <v>0.03248913722778147</v>
      </c>
      <c r="V61">
        <f t="shared" si="26"/>
        <v>0.033199287792453853</v>
      </c>
      <c r="W61" s="45">
        <f t="shared" si="7"/>
        <v>0.8847059049434836</v>
      </c>
      <c r="X61" s="45">
        <f t="shared" si="8"/>
        <v>1.0198575655980016</v>
      </c>
      <c r="Y61" s="45">
        <f t="shared" si="9"/>
        <v>0.9729425995467774</v>
      </c>
      <c r="Z61" s="45">
        <f t="shared" si="10"/>
        <v>0.9643419978592627</v>
      </c>
      <c r="AA61" s="45">
        <f t="shared" si="11"/>
        <v>0.9022740104858381</v>
      </c>
      <c r="AB61" s="45">
        <f t="shared" si="12"/>
        <v>0.8940617619009484</v>
      </c>
      <c r="AC61" s="45">
        <f t="shared" si="13"/>
        <v>0.8859242589321759</v>
      </c>
      <c r="AD61" s="45">
        <f t="shared" si="14"/>
        <v>0.8778608212655876</v>
      </c>
      <c r="AE61" s="45">
        <f t="shared" si="15"/>
        <v>0.8698707747792808</v>
      </c>
      <c r="AF61" s="45">
        <f t="shared" si="16"/>
        <v>0.8619534514870235</v>
      </c>
    </row>
    <row r="62" spans="1:32" ht="12.75">
      <c r="A62">
        <v>50</v>
      </c>
      <c r="B62">
        <f t="shared" si="4"/>
        <v>4.166666666666666</v>
      </c>
      <c r="C62">
        <f t="shared" si="31"/>
        <v>0.03</v>
      </c>
      <c r="D62">
        <f t="shared" si="31"/>
        <v>-0.004725581502724756</v>
      </c>
      <c r="E62">
        <f t="shared" si="31"/>
        <v>0.006623256646116854</v>
      </c>
      <c r="F62">
        <f t="shared" si="31"/>
        <v>0.00887155746788094</v>
      </c>
      <c r="G62">
        <f t="shared" si="28"/>
        <v>0.02527441849727524</v>
      </c>
      <c r="H62">
        <f t="shared" si="28"/>
        <v>0.027482170712647528</v>
      </c>
      <c r="I62">
        <f t="shared" si="28"/>
        <v>0.02968992292801981</v>
      </c>
      <c r="J62">
        <f t="shared" si="28"/>
        <v>0.0318976751433921</v>
      </c>
      <c r="K62">
        <f t="shared" si="28"/>
        <v>0.03410542735876438</v>
      </c>
      <c r="L62">
        <f t="shared" si="30"/>
        <v>0.03631317957413667</v>
      </c>
      <c r="M62">
        <f t="shared" si="17"/>
        <v>0.029999999999999968</v>
      </c>
      <c r="N62">
        <f t="shared" si="18"/>
        <v>-0.00032336343862517217</v>
      </c>
      <c r="O62">
        <f t="shared" si="19"/>
        <v>0.0020005306115466123</v>
      </c>
      <c r="P62">
        <f t="shared" si="20"/>
        <v>0.00786654070745621</v>
      </c>
      <c r="Q62">
        <f t="shared" si="21"/>
        <v>0.029676636561374918</v>
      </c>
      <c r="R62">
        <f t="shared" si="22"/>
        <v>0.030343480098557193</v>
      </c>
      <c r="S62">
        <f t="shared" si="23"/>
        <v>0.0310103236357393</v>
      </c>
      <c r="T62">
        <f t="shared" si="24"/>
        <v>0.03167716717292124</v>
      </c>
      <c r="U62">
        <f t="shared" si="25"/>
        <v>0.03234401071010352</v>
      </c>
      <c r="V62">
        <f t="shared" si="26"/>
        <v>0.03301085424728612</v>
      </c>
      <c r="W62" s="45">
        <f t="shared" si="7"/>
        <v>0.8824969025845955</v>
      </c>
      <c r="X62" s="45">
        <f t="shared" si="8"/>
        <v>1.0198850480223935</v>
      </c>
      <c r="Y62" s="45">
        <f t="shared" si="9"/>
        <v>0.9727804129451497</v>
      </c>
      <c r="Z62" s="45">
        <f t="shared" si="10"/>
        <v>0.9637100353899922</v>
      </c>
      <c r="AA62" s="45">
        <f t="shared" si="11"/>
        <v>0.9000453958721037</v>
      </c>
      <c r="AB62" s="45">
        <f t="shared" si="12"/>
        <v>0.8918038723402112</v>
      </c>
      <c r="AC62" s="45">
        <f t="shared" si="13"/>
        <v>0.8836378146797496</v>
      </c>
      <c r="AD62" s="45">
        <f t="shared" si="14"/>
        <v>0.8755465318658457</v>
      </c>
      <c r="AE62" s="45">
        <f t="shared" si="15"/>
        <v>0.8675293392011942</v>
      </c>
      <c r="AF62" s="45">
        <f t="shared" si="16"/>
        <v>0.8595855582581164</v>
      </c>
    </row>
    <row r="63" spans="1:32" ht="12.75">
      <c r="A63">
        <v>51</v>
      </c>
      <c r="B63">
        <f t="shared" si="4"/>
        <v>4.25</v>
      </c>
      <c r="C63">
        <f t="shared" si="31"/>
        <v>0.03</v>
      </c>
      <c r="D63">
        <f t="shared" si="31"/>
        <v>-0.004638756546310592</v>
      </c>
      <c r="E63">
        <f t="shared" si="31"/>
        <v>0.00653020780219591</v>
      </c>
      <c r="F63">
        <f t="shared" si="31"/>
        <v>0.008848545517644722</v>
      </c>
      <c r="G63">
        <f t="shared" si="28"/>
        <v>0.025361243453689408</v>
      </c>
      <c r="H63">
        <f t="shared" si="28"/>
        <v>0.02753797938775471</v>
      </c>
      <c r="I63">
        <f t="shared" si="28"/>
        <v>0.029714715321820014</v>
      </c>
      <c r="J63">
        <f t="shared" si="28"/>
        <v>0.031891451255885314</v>
      </c>
      <c r="K63">
        <f t="shared" si="28"/>
        <v>0.034068187189950624</v>
      </c>
      <c r="L63">
        <f t="shared" si="30"/>
        <v>0.03624492312401592</v>
      </c>
      <c r="M63">
        <f t="shared" si="17"/>
        <v>0.030000000000000148</v>
      </c>
      <c r="N63">
        <f t="shared" si="18"/>
        <v>-0.0002975087256023974</v>
      </c>
      <c r="O63">
        <f t="shared" si="19"/>
        <v>0.0018777656061487462</v>
      </c>
      <c r="P63">
        <f t="shared" si="20"/>
        <v>0.007697948005833844</v>
      </c>
      <c r="Q63">
        <f t="shared" si="21"/>
        <v>0.029702491274397624</v>
      </c>
      <c r="R63">
        <f t="shared" si="22"/>
        <v>0.03032841314311375</v>
      </c>
      <c r="S63">
        <f t="shared" si="23"/>
        <v>0.03095433501183004</v>
      </c>
      <c r="T63">
        <f t="shared" si="24"/>
        <v>0.03158025688054633</v>
      </c>
      <c r="U63">
        <f t="shared" si="25"/>
        <v>0.032206178749262786</v>
      </c>
      <c r="V63">
        <f t="shared" si="26"/>
        <v>0.032832100617978574</v>
      </c>
      <c r="W63" s="45">
        <f t="shared" si="7"/>
        <v>0.8802934158342212</v>
      </c>
      <c r="X63" s="45">
        <f t="shared" si="8"/>
        <v>1.0199103337275803</v>
      </c>
      <c r="Y63" s="45">
        <f t="shared" si="9"/>
        <v>0.9726282037208652</v>
      </c>
      <c r="Z63" s="45">
        <f t="shared" si="10"/>
        <v>0.963092017826886</v>
      </c>
      <c r="AA63" s="45">
        <f t="shared" si="11"/>
        <v>0.8978203515216722</v>
      </c>
      <c r="AB63" s="45">
        <f t="shared" si="12"/>
        <v>0.8895528018230675</v>
      </c>
      <c r="AC63" s="45">
        <f t="shared" si="13"/>
        <v>0.8813613835887397</v>
      </c>
      <c r="AD63" s="45">
        <f t="shared" si="14"/>
        <v>0.8732453957645598</v>
      </c>
      <c r="AE63" s="45">
        <f t="shared" si="15"/>
        <v>0.865204143752033</v>
      </c>
      <c r="AF63" s="45">
        <f t="shared" si="16"/>
        <v>0.8572369393488524</v>
      </c>
    </row>
    <row r="64" spans="1:32" ht="12.75">
      <c r="A64">
        <v>52</v>
      </c>
      <c r="B64">
        <f t="shared" si="4"/>
        <v>4.333333333333333</v>
      </c>
      <c r="C64">
        <f t="shared" si="31"/>
        <v>0.03</v>
      </c>
      <c r="D64">
        <f t="shared" si="31"/>
        <v>-0.004554813559675657</v>
      </c>
      <c r="E64">
        <f t="shared" si="31"/>
        <v>0.006438508477405256</v>
      </c>
      <c r="F64">
        <f t="shared" si="31"/>
        <v>0.008823189148012925</v>
      </c>
      <c r="G64">
        <f t="shared" si="28"/>
        <v>0.02544518644032434</v>
      </c>
      <c r="H64">
        <f t="shared" si="28"/>
        <v>0.02759135593279276</v>
      </c>
      <c r="I64">
        <f t="shared" si="28"/>
        <v>0.029737525425261178</v>
      </c>
      <c r="J64">
        <f t="shared" si="28"/>
        <v>0.0318836949177296</v>
      </c>
      <c r="K64">
        <f t="shared" si="28"/>
        <v>0.034029864410198014</v>
      </c>
      <c r="L64">
        <f t="shared" si="30"/>
        <v>0.03617603390266644</v>
      </c>
      <c r="M64">
        <f t="shared" si="17"/>
        <v>0.0299999999999998</v>
      </c>
      <c r="N64">
        <f t="shared" si="18"/>
        <v>-0.00027372124129396256</v>
      </c>
      <c r="O64">
        <f t="shared" si="19"/>
        <v>0.0017618429130818937</v>
      </c>
      <c r="P64">
        <f t="shared" si="20"/>
        <v>0.007530014296791314</v>
      </c>
      <c r="Q64">
        <f t="shared" si="21"/>
        <v>0.02972627875870592</v>
      </c>
      <c r="R64">
        <f t="shared" si="22"/>
        <v>0.030313559729733316</v>
      </c>
      <c r="S64">
        <f t="shared" si="23"/>
        <v>0.030900840700760712</v>
      </c>
      <c r="T64">
        <f t="shared" si="24"/>
        <v>0.03148812167178794</v>
      </c>
      <c r="U64">
        <f t="shared" si="25"/>
        <v>0.03207540264281483</v>
      </c>
      <c r="V64">
        <f t="shared" si="26"/>
        <v>0.03266268361384273</v>
      </c>
      <c r="W64" s="45">
        <f t="shared" si="7"/>
        <v>0.8780954309205613</v>
      </c>
      <c r="X64" s="45">
        <f t="shared" si="8"/>
        <v>1.0199335982531255</v>
      </c>
      <c r="Y64" s="45">
        <f t="shared" si="9"/>
        <v>0.9724854126944459</v>
      </c>
      <c r="Z64" s="45">
        <f t="shared" si="10"/>
        <v>0.9624878660110888</v>
      </c>
      <c r="AA64" s="45">
        <f t="shared" si="11"/>
        <v>0.895599032468437</v>
      </c>
      <c r="AB64" s="45">
        <f t="shared" si="12"/>
        <v>0.8873085117015733</v>
      </c>
      <c r="AC64" s="45">
        <f t="shared" si="13"/>
        <v>0.8790947359200145</v>
      </c>
      <c r="AD64" s="45">
        <f t="shared" si="14"/>
        <v>0.8709569946988144</v>
      </c>
      <c r="AE64" s="45">
        <f t="shared" si="15"/>
        <v>0.8628945841893991</v>
      </c>
      <c r="AF64" s="45">
        <f t="shared" si="16"/>
        <v>0.8549068070586903</v>
      </c>
    </row>
    <row r="65" spans="1:32" ht="12.75">
      <c r="A65">
        <v>53</v>
      </c>
      <c r="B65">
        <f t="shared" si="4"/>
        <v>4.416666666666666</v>
      </c>
      <c r="C65">
        <f t="shared" si="31"/>
        <v>0.03</v>
      </c>
      <c r="D65">
        <f t="shared" si="31"/>
        <v>-0.004473625298157587</v>
      </c>
      <c r="E65">
        <f t="shared" si="31"/>
        <v>0.006348205547530395</v>
      </c>
      <c r="F65">
        <f t="shared" si="31"/>
        <v>0.008795637778877808</v>
      </c>
      <c r="G65">
        <f t="shared" si="28"/>
        <v>0.02552637470184241</v>
      </c>
      <c r="H65">
        <f t="shared" si="28"/>
        <v>0.027642443217685875</v>
      </c>
      <c r="I65">
        <f t="shared" si="28"/>
        <v>0.029758511733529343</v>
      </c>
      <c r="J65">
        <f t="shared" si="28"/>
        <v>0.03187458024937281</v>
      </c>
      <c r="K65">
        <f t="shared" si="28"/>
        <v>0.03399064876521627</v>
      </c>
      <c r="L65">
        <f t="shared" si="30"/>
        <v>0.03610671728105974</v>
      </c>
      <c r="M65">
        <f t="shared" si="17"/>
        <v>0.030000000000000134</v>
      </c>
      <c r="N65">
        <f t="shared" si="18"/>
        <v>-0.0002518356992179403</v>
      </c>
      <c r="O65">
        <f t="shared" si="19"/>
        <v>0.0016524531940376095</v>
      </c>
      <c r="P65">
        <f t="shared" si="20"/>
        <v>0.007362966583851686</v>
      </c>
      <c r="Q65">
        <f t="shared" si="21"/>
        <v>0.02974816430078219</v>
      </c>
      <c r="R65">
        <f t="shared" si="22"/>
        <v>0.030298982032127938</v>
      </c>
      <c r="S65">
        <f t="shared" si="23"/>
        <v>0.030849799763474017</v>
      </c>
      <c r="T65">
        <f t="shared" si="24"/>
        <v>0.031400617494819594</v>
      </c>
      <c r="U65">
        <f t="shared" si="25"/>
        <v>0.0319514352261655</v>
      </c>
      <c r="V65">
        <f t="shared" si="26"/>
        <v>0.03250225295751142</v>
      </c>
      <c r="W65" s="45">
        <f t="shared" si="7"/>
        <v>0.8759029341062032</v>
      </c>
      <c r="X65" s="45">
        <f t="shared" si="8"/>
        <v>1.0199550031186353</v>
      </c>
      <c r="Y65" s="45">
        <f t="shared" si="9"/>
        <v>0.9723515063622085</v>
      </c>
      <c r="Z65" s="45">
        <f t="shared" si="10"/>
        <v>0.9618974833203786</v>
      </c>
      <c r="AA65" s="45">
        <f t="shared" si="11"/>
        <v>0.8933815798879142</v>
      </c>
      <c r="AB65" s="45">
        <f t="shared" si="12"/>
        <v>0.885070958984625</v>
      </c>
      <c r="AC65" s="45">
        <f t="shared" si="13"/>
        <v>0.876837647062574</v>
      </c>
      <c r="AD65" s="45">
        <f t="shared" si="14"/>
        <v>0.8686809249602632</v>
      </c>
      <c r="AE65" s="45">
        <f t="shared" si="15"/>
        <v>0.8606000802061445</v>
      </c>
      <c r="AF65" s="45">
        <f t="shared" si="16"/>
        <v>0.8525944069563883</v>
      </c>
    </row>
    <row r="66" spans="1:32" ht="12.75">
      <c r="A66">
        <v>54</v>
      </c>
      <c r="B66">
        <f t="shared" si="4"/>
        <v>4.5</v>
      </c>
      <c r="C66">
        <f t="shared" si="31"/>
        <v>0.03</v>
      </c>
      <c r="D66">
        <f t="shared" si="31"/>
        <v>-0.0043950711264967015</v>
      </c>
      <c r="E66">
        <f t="shared" si="31"/>
        <v>0.006259336793597783</v>
      </c>
      <c r="F66">
        <f t="shared" si="31"/>
        <v>0.008766033602319211</v>
      </c>
      <c r="G66">
        <f t="shared" si="28"/>
        <v>0.025604928873503296</v>
      </c>
      <c r="H66">
        <f t="shared" si="28"/>
        <v>0.027691374471369226</v>
      </c>
      <c r="I66">
        <f t="shared" si="28"/>
        <v>0.029777820069235152</v>
      </c>
      <c r="J66">
        <f t="shared" si="28"/>
        <v>0.03186426566710108</v>
      </c>
      <c r="K66">
        <f t="shared" si="28"/>
        <v>0.03395071126496701</v>
      </c>
      <c r="L66">
        <f t="shared" si="30"/>
        <v>0.03603715686283294</v>
      </c>
      <c r="M66">
        <f t="shared" si="17"/>
        <v>0.030000000000000148</v>
      </c>
      <c r="N66">
        <f t="shared" si="18"/>
        <v>-0.00023170002846979566</v>
      </c>
      <c r="O66">
        <f t="shared" si="19"/>
        <v>0.0015492928351693747</v>
      </c>
      <c r="P66">
        <f t="shared" si="20"/>
        <v>0.007197012244713645</v>
      </c>
      <c r="Q66">
        <f t="shared" si="21"/>
        <v>0.029768299971530143</v>
      </c>
      <c r="R66">
        <f t="shared" si="22"/>
        <v>0.03028473091658663</v>
      </c>
      <c r="S66">
        <f t="shared" si="23"/>
        <v>0.03080116186164295</v>
      </c>
      <c r="T66">
        <f t="shared" si="24"/>
        <v>0.03131759280669977</v>
      </c>
      <c r="U66">
        <f t="shared" si="25"/>
        <v>0.03183402375175625</v>
      </c>
      <c r="V66">
        <f t="shared" si="26"/>
        <v>0.03235045469681241</v>
      </c>
      <c r="W66" s="45">
        <f t="shared" si="7"/>
        <v>0.8737159116880344</v>
      </c>
      <c r="X66" s="45">
        <f t="shared" si="8"/>
        <v>1.019974696942367</v>
      </c>
      <c r="Y66" s="45">
        <f t="shared" si="9"/>
        <v>0.9722259763639903</v>
      </c>
      <c r="Z66" s="45">
        <f t="shared" si="10"/>
        <v>0.961320757286545</v>
      </c>
      <c r="AA66" s="45">
        <f t="shared" si="11"/>
        <v>0.891168122237727</v>
      </c>
      <c r="AB66" s="45">
        <f t="shared" si="12"/>
        <v>0.8828400972261171</v>
      </c>
      <c r="AC66" s="45">
        <f t="shared" si="13"/>
        <v>0.8745898981587519</v>
      </c>
      <c r="AD66" s="45">
        <f t="shared" si="14"/>
        <v>0.8664167977470381</v>
      </c>
      <c r="AE66" s="45">
        <f t="shared" si="15"/>
        <v>0.8583200754989418</v>
      </c>
      <c r="AF66" s="45">
        <f t="shared" si="16"/>
        <v>0.8502990176554754</v>
      </c>
    </row>
    <row r="67" spans="1:32" ht="12.75">
      <c r="A67">
        <v>55</v>
      </c>
      <c r="B67">
        <f t="shared" si="4"/>
        <v>4.583333333333333</v>
      </c>
      <c r="C67">
        <f t="shared" si="31"/>
        <v>0.03</v>
      </c>
      <c r="D67">
        <f t="shared" si="31"/>
        <v>-0.0043190366390524525</v>
      </c>
      <c r="E67">
        <f t="shared" si="31"/>
        <v>0.006171931852064289</v>
      </c>
      <c r="F67">
        <f t="shared" si="31"/>
        <v>0.008734511905096208</v>
      </c>
      <c r="G67">
        <f t="shared" si="28"/>
        <v>0.025680963360947547</v>
      </c>
      <c r="H67">
        <f t="shared" si="28"/>
        <v>0.02773827397830231</v>
      </c>
      <c r="I67">
        <f t="shared" si="28"/>
        <v>0.029795584595657072</v>
      </c>
      <c r="J67">
        <f t="shared" si="28"/>
        <v>0.031852895213011836</v>
      </c>
      <c r="K67">
        <f t="shared" si="28"/>
        <v>0.0339102058303666</v>
      </c>
      <c r="L67">
        <f t="shared" si="30"/>
        <v>0.035967516447721365</v>
      </c>
      <c r="M67">
        <f t="shared" si="17"/>
        <v>0.0299999999999998</v>
      </c>
      <c r="N67">
        <f t="shared" si="18"/>
        <v>-0.00021317431706299815</v>
      </c>
      <c r="O67">
        <f t="shared" si="19"/>
        <v>0.0014520650092556039</v>
      </c>
      <c r="P67">
        <f t="shared" si="20"/>
        <v>0.007032340255054029</v>
      </c>
      <c r="Q67">
        <f t="shared" si="21"/>
        <v>0.029786825682937054</v>
      </c>
      <c r="R67">
        <f t="shared" si="22"/>
        <v>0.03027084735268892</v>
      </c>
      <c r="S67">
        <f t="shared" si="23"/>
        <v>0.03075486902244062</v>
      </c>
      <c r="T67">
        <f t="shared" si="24"/>
        <v>0.031238890692192656</v>
      </c>
      <c r="U67">
        <f t="shared" si="25"/>
        <v>0.03172291236194469</v>
      </c>
      <c r="V67">
        <f t="shared" si="26"/>
        <v>0.03220693403169639</v>
      </c>
      <c r="W67" s="45">
        <f t="shared" si="7"/>
        <v>0.8715343499971578</v>
      </c>
      <c r="X67" s="45">
        <f t="shared" si="8"/>
        <v>1.0199928164707626</v>
      </c>
      <c r="Y67" s="45">
        <f t="shared" si="9"/>
        <v>0.9721083388714069</v>
      </c>
      <c r="Z67" s="45">
        <f t="shared" si="10"/>
        <v>0.960757561105505</v>
      </c>
      <c r="AA67" s="45">
        <f t="shared" si="11"/>
        <v>0.8889587763046165</v>
      </c>
      <c r="AB67" s="45">
        <f t="shared" si="12"/>
        <v>0.880615877296495</v>
      </c>
      <c r="AC67" s="45">
        <f t="shared" si="13"/>
        <v>0.8723512765916415</v>
      </c>
      <c r="AD67" s="45">
        <f t="shared" si="14"/>
        <v>0.8641642393586393</v>
      </c>
      <c r="AE67" s="45">
        <f t="shared" si="15"/>
        <v>0.8560540376624824</v>
      </c>
      <c r="AF67" s="45">
        <f t="shared" si="16"/>
        <v>0.8480199503998518</v>
      </c>
    </row>
    <row r="68" spans="1:32" ht="12.75">
      <c r="A68">
        <v>56</v>
      </c>
      <c r="B68">
        <f t="shared" si="4"/>
        <v>4.666666666666666</v>
      </c>
      <c r="C68">
        <f t="shared" si="31"/>
        <v>0.03</v>
      </c>
      <c r="D68">
        <f t="shared" si="31"/>
        <v>-0.004245413303350735</v>
      </c>
      <c r="E68">
        <f t="shared" si="31"/>
        <v>0.006086013078481246</v>
      </c>
      <c r="F68">
        <f t="shared" si="31"/>
        <v>0.008701201377239783</v>
      </c>
      <c r="G68">
        <f t="shared" si="28"/>
        <v>0.025754586696649262</v>
      </c>
      <c r="H68">
        <f t="shared" si="28"/>
        <v>0.02778325772280968</v>
      </c>
      <c r="I68">
        <f t="shared" si="28"/>
        <v>0.029811928748970092</v>
      </c>
      <c r="J68">
        <f t="shared" si="28"/>
        <v>0.031840599775130506</v>
      </c>
      <c r="K68">
        <f t="shared" si="28"/>
        <v>0.03386927080129092</v>
      </c>
      <c r="L68">
        <f t="shared" si="30"/>
        <v>0.03589794182745134</v>
      </c>
      <c r="M68">
        <f t="shared" si="17"/>
        <v>0.030000000000000134</v>
      </c>
      <c r="N68">
        <f t="shared" si="18"/>
        <v>-0.0001961298397562407</v>
      </c>
      <c r="O68">
        <f t="shared" si="19"/>
        <v>0.0013604805314138733</v>
      </c>
      <c r="P68">
        <f t="shared" si="20"/>
        <v>0.006869122345136366</v>
      </c>
      <c r="Q68">
        <f t="shared" si="21"/>
        <v>0.029803870160243603</v>
      </c>
      <c r="R68">
        <f t="shared" si="22"/>
        <v>0.03025736367071496</v>
      </c>
      <c r="S68">
        <f t="shared" si="23"/>
        <v>0.030710857181186154</v>
      </c>
      <c r="T68">
        <f t="shared" si="24"/>
        <v>0.03116435069165735</v>
      </c>
      <c r="U68">
        <f t="shared" si="25"/>
        <v>0.03161784420212854</v>
      </c>
      <c r="V68">
        <f t="shared" si="26"/>
        <v>0.03207133771260007</v>
      </c>
      <c r="W68" s="45">
        <f t="shared" si="7"/>
        <v>0.8693582353988059</v>
      </c>
      <c r="X68" s="45">
        <f t="shared" si="8"/>
        <v>1.02000948752597</v>
      </c>
      <c r="Y68" s="45">
        <f t="shared" si="9"/>
        <v>0.9719981339128908</v>
      </c>
      <c r="Z68" s="45">
        <f t="shared" si="10"/>
        <v>0.9602077550464592</v>
      </c>
      <c r="AA68" s="45">
        <f t="shared" si="11"/>
        <v>0.8867536481656175</v>
      </c>
      <c r="AB68" s="45">
        <f t="shared" si="12"/>
        <v>0.8783982480508891</v>
      </c>
      <c r="AC68" s="45">
        <f t="shared" si="13"/>
        <v>0.87012157635326</v>
      </c>
      <c r="AD68" s="45">
        <f t="shared" si="14"/>
        <v>0.8619228912574284</v>
      </c>
      <c r="AE68" s="45">
        <f t="shared" si="15"/>
        <v>0.8538014579378167</v>
      </c>
      <c r="AF68" s="45">
        <f t="shared" si="16"/>
        <v>0.8457565484927116</v>
      </c>
    </row>
    <row r="69" spans="1:32" ht="12.75">
      <c r="A69">
        <v>57</v>
      </c>
      <c r="B69">
        <f t="shared" si="4"/>
        <v>4.75</v>
      </c>
      <c r="C69">
        <f t="shared" si="31"/>
        <v>0.03</v>
      </c>
      <c r="D69">
        <f t="shared" si="31"/>
        <v>-0.004174098125460545</v>
      </c>
      <c r="E69">
        <f t="shared" si="31"/>
        <v>0.0060015963320971975</v>
      </c>
      <c r="F69">
        <f t="shared" si="31"/>
        <v>0.008666224407334873</v>
      </c>
      <c r="G69">
        <f t="shared" si="28"/>
        <v>0.025825901874539453</v>
      </c>
      <c r="H69">
        <f t="shared" si="28"/>
        <v>0.02782643398523852</v>
      </c>
      <c r="I69">
        <f t="shared" si="28"/>
        <v>0.029826966095937584</v>
      </c>
      <c r="J69">
        <f t="shared" si="28"/>
        <v>0.03182749820663665</v>
      </c>
      <c r="K69">
        <f t="shared" si="28"/>
        <v>0.033828030317335715</v>
      </c>
      <c r="L69">
        <f t="shared" si="30"/>
        <v>0.03582856242803478</v>
      </c>
      <c r="M69">
        <f t="shared" si="17"/>
        <v>0.029999999999999815</v>
      </c>
      <c r="N69">
        <f t="shared" si="18"/>
        <v>-0.00018044816360994348</v>
      </c>
      <c r="O69">
        <f t="shared" si="19"/>
        <v>0.0012742585345905297</v>
      </c>
      <c r="P69">
        <f t="shared" si="20"/>
        <v>0.006707514092659885</v>
      </c>
      <c r="Q69">
        <f t="shared" si="21"/>
        <v>0.02981955183639008</v>
      </c>
      <c r="R69">
        <f t="shared" si="22"/>
        <v>0.030244304681253505</v>
      </c>
      <c r="S69">
        <f t="shared" si="23"/>
        <v>0.030669057526117264</v>
      </c>
      <c r="T69">
        <f t="shared" si="24"/>
        <v>0.03109381037098069</v>
      </c>
      <c r="U69">
        <f t="shared" si="25"/>
        <v>0.03151856321584412</v>
      </c>
      <c r="V69">
        <f t="shared" si="26"/>
        <v>0.03194331606070754</v>
      </c>
      <c r="W69" s="45">
        <f t="shared" si="7"/>
        <v>0.8671875542922549</v>
      </c>
      <c r="X69" s="45">
        <f t="shared" si="8"/>
        <v>1.020024825877868</v>
      </c>
      <c r="Y69" s="45">
        <f t="shared" si="9"/>
        <v>0.9718949246496459</v>
      </c>
      <c r="Z69" s="45">
        <f t="shared" si="10"/>
        <v>0.9596711877660496</v>
      </c>
      <c r="AA69" s="45">
        <f t="shared" si="11"/>
        <v>0.8845528340704114</v>
      </c>
      <c r="AB69" s="45">
        <f t="shared" si="12"/>
        <v>0.8761871569056321</v>
      </c>
      <c r="AC69" s="45">
        <f t="shared" si="13"/>
        <v>0.8679005983098401</v>
      </c>
      <c r="AD69" s="45">
        <f t="shared" si="14"/>
        <v>0.8596924100174933</v>
      </c>
      <c r="AE69" s="45">
        <f t="shared" si="15"/>
        <v>0.8515618508397869</v>
      </c>
      <c r="AF69" s="45">
        <f t="shared" si="16"/>
        <v>0.8435081865977246</v>
      </c>
    </row>
    <row r="70" spans="1:32" ht="12.75">
      <c r="A70">
        <v>58</v>
      </c>
      <c r="B70">
        <f t="shared" si="4"/>
        <v>4.833333333333333</v>
      </c>
      <c r="C70">
        <f t="shared" si="31"/>
        <v>0.03</v>
      </c>
      <c r="D70">
        <f t="shared" si="31"/>
        <v>-0.004104993335798456</v>
      </c>
      <c r="E70">
        <f t="shared" si="31"/>
        <v>0.0059186916882364915</v>
      </c>
      <c r="F70">
        <f t="shared" si="31"/>
        <v>0.00862969736505552</v>
      </c>
      <c r="G70">
        <f t="shared" si="28"/>
        <v>0.025895006664201543</v>
      </c>
      <c r="H70">
        <f t="shared" si="28"/>
        <v>0.027867903893613707</v>
      </c>
      <c r="I70">
        <f t="shared" si="28"/>
        <v>0.02984080112302587</v>
      </c>
      <c r="J70">
        <f t="shared" si="28"/>
        <v>0.03181369835243803</v>
      </c>
      <c r="K70">
        <f t="shared" si="28"/>
        <v>0.033786595581850196</v>
      </c>
      <c r="L70">
        <f t="shared" si="30"/>
        <v>0.03575949281126237</v>
      </c>
      <c r="M70">
        <f t="shared" si="17"/>
        <v>0.030000000000000134</v>
      </c>
      <c r="N70">
        <f t="shared" si="18"/>
        <v>-0.00016602032505935786</v>
      </c>
      <c r="O70">
        <f t="shared" si="19"/>
        <v>0.0011931269881762007</v>
      </c>
      <c r="P70">
        <f t="shared" si="20"/>
        <v>0.006547655955132427</v>
      </c>
      <c r="Q70">
        <f t="shared" si="21"/>
        <v>0.02983397967494061</v>
      </c>
      <c r="R70">
        <f t="shared" si="22"/>
        <v>0.030231688670999343</v>
      </c>
      <c r="S70">
        <f t="shared" si="23"/>
        <v>0.030629397667058075</v>
      </c>
      <c r="T70">
        <f t="shared" si="24"/>
        <v>0.03102710666311681</v>
      </c>
      <c r="U70">
        <f t="shared" si="25"/>
        <v>0.03142481565917554</v>
      </c>
      <c r="V70">
        <f t="shared" si="26"/>
        <v>0.03182252465523461</v>
      </c>
      <c r="W70" s="45">
        <f t="shared" si="7"/>
        <v>0.8650222931107413</v>
      </c>
      <c r="X70" s="45">
        <f t="shared" si="8"/>
        <v>1.0200389380465855</v>
      </c>
      <c r="Y70" s="45">
        <f t="shared" si="9"/>
        <v>0.9717982966147661</v>
      </c>
      <c r="Z70" s="45">
        <f t="shared" si="10"/>
        <v>0.9591476975331562</v>
      </c>
      <c r="AA70" s="45">
        <f t="shared" si="11"/>
        <v>0.8823564212513028</v>
      </c>
      <c r="AB70" s="45">
        <f t="shared" si="12"/>
        <v>0.8739825503337239</v>
      </c>
      <c r="AC70" s="45">
        <f t="shared" si="13"/>
        <v>0.8656881503787348</v>
      </c>
      <c r="AD70" s="45">
        <f t="shared" si="14"/>
        <v>0.8574724671791171</v>
      </c>
      <c r="AE70" s="45">
        <f t="shared" si="15"/>
        <v>0.849334753685342</v>
      </c>
      <c r="AF70" s="45">
        <f t="shared" si="16"/>
        <v>0.841274269937642</v>
      </c>
    </row>
    <row r="71" spans="1:32" ht="12.75">
      <c r="A71">
        <v>59</v>
      </c>
      <c r="B71">
        <f t="shared" si="4"/>
        <v>4.916666666666666</v>
      </c>
      <c r="C71">
        <f t="shared" si="31"/>
        <v>0.03</v>
      </c>
      <c r="D71">
        <f t="shared" si="31"/>
        <v>-0.0040380060940524804</v>
      </c>
      <c r="E71">
        <f t="shared" si="31"/>
        <v>0.0058373040847157585</v>
      </c>
      <c r="F71">
        <f t="shared" si="31"/>
        <v>0.008591730871493267</v>
      </c>
      <c r="G71">
        <f t="shared" si="28"/>
        <v>0.025961993905947518</v>
      </c>
      <c r="H71">
        <f t="shared" si="28"/>
        <v>0.027907761934186103</v>
      </c>
      <c r="I71">
        <f t="shared" si="28"/>
        <v>0.02985352996242469</v>
      </c>
      <c r="J71">
        <f t="shared" si="28"/>
        <v>0.03179929799066328</v>
      </c>
      <c r="K71">
        <f t="shared" si="28"/>
        <v>0.03374506601890186</v>
      </c>
      <c r="L71">
        <f t="shared" si="30"/>
        <v>0.03569083404714045</v>
      </c>
      <c r="M71">
        <f t="shared" si="17"/>
        <v>0.0299999999999998</v>
      </c>
      <c r="N71">
        <f t="shared" si="18"/>
        <v>-0.00015274607278589812</v>
      </c>
      <c r="O71">
        <f t="shared" si="19"/>
        <v>0.0011168230805132418</v>
      </c>
      <c r="P71">
        <f t="shared" si="20"/>
        <v>0.006389674244882621</v>
      </c>
      <c r="Q71">
        <f t="shared" si="21"/>
        <v>0.02984725392721432</v>
      </c>
      <c r="R71">
        <f t="shared" si="22"/>
        <v>0.030219528287385274</v>
      </c>
      <c r="S71">
        <f t="shared" si="23"/>
        <v>0.03059180264755623</v>
      </c>
      <c r="T71">
        <f t="shared" si="24"/>
        <v>0.03096407700772752</v>
      </c>
      <c r="U71">
        <f t="shared" si="25"/>
        <v>0.031336351367898474</v>
      </c>
      <c r="V71">
        <f t="shared" si="26"/>
        <v>0.031708625728069095</v>
      </c>
      <c r="W71" s="45">
        <f t="shared" si="7"/>
        <v>0.8628624383213754</v>
      </c>
      <c r="X71" s="45">
        <f t="shared" si="8"/>
        <v>1.0200519220410438</v>
      </c>
      <c r="Y71" s="45">
        <f t="shared" si="9"/>
        <v>0.9717078569261066</v>
      </c>
      <c r="Z71" s="45">
        <f t="shared" si="10"/>
        <v>0.9586371133696594</v>
      </c>
      <c r="AA71" s="45">
        <f t="shared" si="11"/>
        <v>0.8801644886667406</v>
      </c>
      <c r="AB71" s="45">
        <f t="shared" si="12"/>
        <v>0.8717843742886819</v>
      </c>
      <c r="AC71" s="45">
        <f t="shared" si="13"/>
        <v>0.8634840476297299</v>
      </c>
      <c r="AD71" s="45">
        <f t="shared" si="14"/>
        <v>0.855262749024821</v>
      </c>
      <c r="AE71" s="45">
        <f t="shared" si="15"/>
        <v>0.847119726041722</v>
      </c>
      <c r="AF71" s="45">
        <f t="shared" si="16"/>
        <v>0.839054233412165</v>
      </c>
    </row>
    <row r="72" spans="1:32" ht="12.75">
      <c r="A72">
        <v>60</v>
      </c>
      <c r="B72">
        <f t="shared" si="4"/>
        <v>5</v>
      </c>
      <c r="C72">
        <f t="shared" si="31"/>
        <v>0.03</v>
      </c>
      <c r="D72">
        <f t="shared" si="31"/>
        <v>-0.003973048212003658</v>
      </c>
      <c r="E72">
        <f t="shared" si="31"/>
        <v>0.0057574339080329225</v>
      </c>
      <c r="F72">
        <f t="shared" si="31"/>
        <v>0.00855243005779625</v>
      </c>
      <c r="G72">
        <f t="shared" si="28"/>
        <v>0.02602695178799634</v>
      </c>
      <c r="H72">
        <f t="shared" si="28"/>
        <v>0.027946096424007316</v>
      </c>
      <c r="I72">
        <f t="shared" si="28"/>
        <v>0.02986524106001829</v>
      </c>
      <c r="J72">
        <f t="shared" si="28"/>
        <v>0.03178438569602926</v>
      </c>
      <c r="K72">
        <f t="shared" si="28"/>
        <v>0.03370353033204024</v>
      </c>
      <c r="L72">
        <f t="shared" si="30"/>
        <v>0.035622674968051216</v>
      </c>
      <c r="M72">
        <f t="shared" si="17"/>
        <v>0.030000000000000148</v>
      </c>
      <c r="N72">
        <f t="shared" si="18"/>
        <v>-0.00014053317112316843</v>
      </c>
      <c r="O72">
        <f t="shared" si="19"/>
        <v>0.0010450934837456303</v>
      </c>
      <c r="P72">
        <f t="shared" si="20"/>
        <v>0.006233682049672296</v>
      </c>
      <c r="Q72">
        <f t="shared" si="21"/>
        <v>0.02985946682887698</v>
      </c>
      <c r="R72">
        <f t="shared" si="22"/>
        <v>0.03020783132345884</v>
      </c>
      <c r="S72">
        <f t="shared" si="23"/>
        <v>0.030556195818040702</v>
      </c>
      <c r="T72">
        <f t="shared" si="24"/>
        <v>0.030904560312622235</v>
      </c>
      <c r="U72">
        <f t="shared" si="25"/>
        <v>0.03125292480720443</v>
      </c>
      <c r="V72">
        <f t="shared" si="26"/>
        <v>0.03160128930178663</v>
      </c>
      <c r="W72" s="45">
        <f t="shared" si="7"/>
        <v>0.8607079764250578</v>
      </c>
      <c r="X72" s="45">
        <f t="shared" si="8"/>
        <v>1.0200638680386036</v>
      </c>
      <c r="Y72" s="45">
        <f t="shared" si="9"/>
        <v>0.9716232334820207</v>
      </c>
      <c r="Z72" s="45">
        <f t="shared" si="10"/>
        <v>0.958139256112202</v>
      </c>
      <c r="AA72" s="45">
        <f t="shared" si="11"/>
        <v>0.8779771076838238</v>
      </c>
      <c r="AB72" s="45">
        <f t="shared" si="12"/>
        <v>0.8695925745652183</v>
      </c>
      <c r="AC72" s="45">
        <f t="shared" si="13"/>
        <v>0.86128811232204</v>
      </c>
      <c r="AD72" s="45">
        <f t="shared" si="14"/>
        <v>0.8530629562909492</v>
      </c>
      <c r="AE72" s="45">
        <f t="shared" si="15"/>
        <v>0.8449163491110127</v>
      </c>
      <c r="AF72" s="45">
        <f t="shared" si="16"/>
        <v>0.8368475406539663</v>
      </c>
    </row>
    <row r="73" spans="1:32" ht="12.75">
      <c r="A73">
        <v>61</v>
      </c>
      <c r="B73">
        <f t="shared" si="4"/>
        <v>5.083333333333333</v>
      </c>
      <c r="C73">
        <f t="shared" si="31"/>
        <v>0.03</v>
      </c>
      <c r="D73">
        <f t="shared" si="31"/>
        <v>-0.0039100358931046155</v>
      </c>
      <c r="E73">
        <f t="shared" si="31"/>
        <v>0.005679077524579613</v>
      </c>
      <c r="F73">
        <f t="shared" si="31"/>
        <v>0.00851189481261479</v>
      </c>
      <c r="G73">
        <f t="shared" si="28"/>
        <v>0.02608996410689538</v>
      </c>
      <c r="H73">
        <f t="shared" si="28"/>
        <v>0.02798298994842192</v>
      </c>
      <c r="I73">
        <f t="shared" si="28"/>
        <v>0.029876015789948456</v>
      </c>
      <c r="J73">
        <f t="shared" si="28"/>
        <v>0.031769041631474995</v>
      </c>
      <c r="K73">
        <f t="shared" si="28"/>
        <v>0.03366206747300153</v>
      </c>
      <c r="L73">
        <f t="shared" si="30"/>
        <v>0.03555509331452807</v>
      </c>
      <c r="M73">
        <f t="shared" si="17"/>
        <v>0.030000000000000134</v>
      </c>
      <c r="N73">
        <f t="shared" si="18"/>
        <v>-0.00012929675916204021</v>
      </c>
      <c r="O73">
        <f t="shared" si="19"/>
        <v>0.00097769451738099</v>
      </c>
      <c r="P73">
        <f t="shared" si="20"/>
        <v>0.0060797801017271275</v>
      </c>
      <c r="Q73">
        <f t="shared" si="21"/>
        <v>0.02987070324083751</v>
      </c>
      <c r="R73">
        <f t="shared" si="22"/>
        <v>0.03019660141329805</v>
      </c>
      <c r="S73">
        <f t="shared" si="23"/>
        <v>0.030522499585758586</v>
      </c>
      <c r="T73">
        <f t="shared" si="24"/>
        <v>0.030848397758219126</v>
      </c>
      <c r="U73">
        <f t="shared" si="25"/>
        <v>0.031174295930678997</v>
      </c>
      <c r="V73">
        <f t="shared" si="26"/>
        <v>0.031500194103139534</v>
      </c>
      <c r="W73" s="45">
        <f t="shared" si="7"/>
        <v>0.8585588939563946</v>
      </c>
      <c r="X73" s="45">
        <f t="shared" si="8"/>
        <v>1.0200748590105055</v>
      </c>
      <c r="Y73" s="45">
        <f t="shared" si="9"/>
        <v>0.9715440741477719</v>
      </c>
      <c r="Z73" s="45">
        <f t="shared" si="10"/>
        <v>0.9576539393997043</v>
      </c>
      <c r="AA73" s="45">
        <f t="shared" si="11"/>
        <v>0.8757943427047848</v>
      </c>
      <c r="AB73" s="45">
        <f t="shared" si="12"/>
        <v>0.867407097104271</v>
      </c>
      <c r="AC73" s="45">
        <f t="shared" si="13"/>
        <v>0.8591001738869162</v>
      </c>
      <c r="AD73" s="45">
        <f t="shared" si="14"/>
        <v>0.8508728038269766</v>
      </c>
      <c r="AE73" s="45">
        <f t="shared" si="15"/>
        <v>0.8427242250653754</v>
      </c>
      <c r="AF73" s="45">
        <f t="shared" si="16"/>
        <v>0.8346536830391538</v>
      </c>
    </row>
    <row r="74" spans="1:32" ht="12.75">
      <c r="A74">
        <v>62</v>
      </c>
      <c r="B74">
        <f t="shared" si="4"/>
        <v>5.166666666666666</v>
      </c>
      <c r="C74">
        <f aca="true" t="shared" si="32" ref="C74:K100">C$6+C$7*((1-EXP(-$B74/C$9))/($B74/C$9))+C$8*((1-EXP(-$B74/C$9))/($B74/C$9)-EXP(-$B74/C$9))</f>
        <v>0.03</v>
      </c>
      <c r="D74">
        <f t="shared" si="32"/>
        <v>-0.0038488894877496496</v>
      </c>
      <c r="E74">
        <f t="shared" si="32"/>
        <v>0.005602227761684252</v>
      </c>
      <c r="F74">
        <f aca="true" t="shared" si="33" ref="F74:K74">F$6+F$7*((1-EXP(-$B74/F$9))/($B74/F$9))+F$8*((1-EXP(-$B74/F$9))/($B74/F$9)-EXP(-$B74/F$9))</f>
        <v>0.008470220018828446</v>
      </c>
      <c r="G74">
        <f t="shared" si="33"/>
        <v>0.026151110512250348</v>
      </c>
      <c r="H74">
        <f t="shared" si="33"/>
        <v>0.028018519766145097</v>
      </c>
      <c r="I74">
        <f t="shared" si="33"/>
        <v>0.02988592902003985</v>
      </c>
      <c r="J74">
        <f t="shared" si="33"/>
        <v>0.0317533382739346</v>
      </c>
      <c r="K74">
        <f t="shared" si="33"/>
        <v>0.03362074752782935</v>
      </c>
      <c r="L74">
        <f t="shared" si="30"/>
        <v>0.0354881567817241</v>
      </c>
      <c r="M74">
        <f t="shared" si="17"/>
        <v>0.0299999999999998</v>
      </c>
      <c r="N74">
        <f t="shared" si="18"/>
        <v>-0.00011895876109673007</v>
      </c>
      <c r="O74">
        <f t="shared" si="19"/>
        <v>0.0009143922250672459</v>
      </c>
      <c r="P74">
        <f t="shared" si="20"/>
        <v>0.0059280575978614344</v>
      </c>
      <c r="Q74">
        <f t="shared" si="21"/>
        <v>0.029881041238903446</v>
      </c>
      <c r="R74">
        <f t="shared" si="22"/>
        <v>0.030185838647258986</v>
      </c>
      <c r="S74">
        <f t="shared" si="23"/>
        <v>0.030490636055614858</v>
      </c>
      <c r="T74">
        <f t="shared" si="24"/>
        <v>0.030795433463970734</v>
      </c>
      <c r="U74">
        <f t="shared" si="25"/>
        <v>0.031100230872326273</v>
      </c>
      <c r="V74">
        <f t="shared" si="26"/>
        <v>0.03140502828068181</v>
      </c>
      <c r="W74" s="45">
        <f t="shared" si="7"/>
        <v>0.8564151774836135</v>
      </c>
      <c r="X74" s="45">
        <f t="shared" si="8"/>
        <v>1.020084971297416</v>
      </c>
      <c r="Y74" s="45">
        <f t="shared" si="9"/>
        <v>0.9714700459392825</v>
      </c>
      <c r="Z74" s="45">
        <f t="shared" si="10"/>
        <v>0.9571809705911221</v>
      </c>
      <c r="AA74" s="45">
        <f t="shared" si="11"/>
        <v>0.8736162517420434</v>
      </c>
      <c r="AB74" s="45">
        <f t="shared" si="12"/>
        <v>0.8652278882491111</v>
      </c>
      <c r="AC74" s="45">
        <f t="shared" si="13"/>
        <v>0.8569200688645895</v>
      </c>
      <c r="AD74" s="45">
        <f t="shared" si="14"/>
        <v>0.8486920202131467</v>
      </c>
      <c r="AE74" s="45">
        <f t="shared" si="15"/>
        <v>0.8405429763453125</v>
      </c>
      <c r="AF74" s="45">
        <f t="shared" si="16"/>
        <v>0.832472178666176</v>
      </c>
    </row>
    <row r="75" spans="1:32" ht="12.75">
      <c r="A75">
        <v>63</v>
      </c>
      <c r="B75">
        <f t="shared" si="4"/>
        <v>5.25</v>
      </c>
      <c r="C75">
        <f t="shared" si="32"/>
        <v>0.03</v>
      </c>
      <c r="D75">
        <f t="shared" si="32"/>
        <v>-0.003789533263241214</v>
      </c>
      <c r="E75">
        <f t="shared" si="32"/>
        <v>0.005526874342886378</v>
      </c>
      <c r="F75">
        <f t="shared" si="32"/>
        <v>0.008427495780009583</v>
      </c>
      <c r="G75">
        <f t="shared" si="32"/>
        <v>0.026210466736758784</v>
      </c>
      <c r="H75">
        <f t="shared" si="32"/>
        <v>0.02805275818438758</v>
      </c>
      <c r="I75">
        <f t="shared" si="32"/>
        <v>0.02989504963201637</v>
      </c>
      <c r="J75">
        <f t="shared" si="32"/>
        <v>0.03173734107964516</v>
      </c>
      <c r="K75">
        <f t="shared" si="32"/>
        <v>0.03357963252727396</v>
      </c>
      <c r="L75">
        <f t="shared" si="30"/>
        <v>0.03542192397490275</v>
      </c>
      <c r="M75">
        <f t="shared" si="17"/>
        <v>0.030000000000000148</v>
      </c>
      <c r="N75">
        <f t="shared" si="18"/>
        <v>-0.00010944734371819065</v>
      </c>
      <c r="O75">
        <f t="shared" si="19"/>
        <v>0.000854962377418258</v>
      </c>
      <c r="P75">
        <f t="shared" si="20"/>
        <v>0.005778592973240086</v>
      </c>
      <c r="Q75">
        <f t="shared" si="21"/>
        <v>0.029890552656281832</v>
      </c>
      <c r="R75">
        <f t="shared" si="22"/>
        <v>0.030175540115421347</v>
      </c>
      <c r="S75">
        <f t="shared" si="23"/>
        <v>0.030460527574560532</v>
      </c>
      <c r="T75">
        <f t="shared" si="24"/>
        <v>0.030745515033699714</v>
      </c>
      <c r="U75">
        <f t="shared" si="25"/>
        <v>0.031030502492839895</v>
      </c>
      <c r="V75">
        <f t="shared" si="26"/>
        <v>0.03131548995197908</v>
      </c>
      <c r="W75" s="45">
        <f t="shared" si="7"/>
        <v>0.8542768136084795</v>
      </c>
      <c r="X75" s="45">
        <f t="shared" si="8"/>
        <v>1.0200942751390505</v>
      </c>
      <c r="Y75" s="45">
        <f t="shared" si="9"/>
        <v>0.9714008342098657</v>
      </c>
      <c r="Z75" s="45">
        <f t="shared" si="10"/>
        <v>0.9567201516176823</v>
      </c>
      <c r="AA75" s="45">
        <f t="shared" si="11"/>
        <v>0.8714428869460397</v>
      </c>
      <c r="AB75" s="45">
        <f t="shared" si="12"/>
        <v>0.8630548949585171</v>
      </c>
      <c r="AC75" s="45">
        <f t="shared" si="13"/>
        <v>0.8547476408031998</v>
      </c>
      <c r="AD75" s="45">
        <f t="shared" si="14"/>
        <v>0.8465203473456365</v>
      </c>
      <c r="AE75" s="45">
        <f t="shared" si="15"/>
        <v>0.8383722449316114</v>
      </c>
      <c r="AF75" s="45">
        <f t="shared" si="16"/>
        <v>0.8303025713151427</v>
      </c>
    </row>
    <row r="76" spans="1:32" ht="12.75">
      <c r="A76">
        <v>64</v>
      </c>
      <c r="B76">
        <f t="shared" si="4"/>
        <v>5.333333333333333</v>
      </c>
      <c r="C76">
        <f t="shared" si="32"/>
        <v>0.03</v>
      </c>
      <c r="D76">
        <f t="shared" si="32"/>
        <v>-0.0037318951875231327</v>
      </c>
      <c r="E76">
        <f t="shared" si="32"/>
        <v>0.0054530042814697555</v>
      </c>
      <c r="F76">
        <f t="shared" si="32"/>
        <v>0.008383807637059438</v>
      </c>
      <c r="G76">
        <f t="shared" si="32"/>
        <v>0.026268104812476867</v>
      </c>
      <c r="H76">
        <f t="shared" si="32"/>
        <v>0.02808577290630012</v>
      </c>
      <c r="I76">
        <f t="shared" si="32"/>
        <v>0.029903441000123373</v>
      </c>
      <c r="J76">
        <f t="shared" si="32"/>
        <v>0.031721109093946626</v>
      </c>
      <c r="K76">
        <f t="shared" si="32"/>
        <v>0.033538777187769875</v>
      </c>
      <c r="L76">
        <f t="shared" si="30"/>
        <v>0.035356445281593124</v>
      </c>
      <c r="M76">
        <f t="shared" si="17"/>
        <v>0.0299999999999998</v>
      </c>
      <c r="N76">
        <f t="shared" si="18"/>
        <v>-0.00010069641728403835</v>
      </c>
      <c r="O76">
        <f t="shared" si="19"/>
        <v>0.0007991904122225141</v>
      </c>
      <c r="P76">
        <f t="shared" si="20"/>
        <v>0.005631454631200342</v>
      </c>
      <c r="Q76">
        <f t="shared" si="21"/>
        <v>0.02989930358271597</v>
      </c>
      <c r="R76">
        <f t="shared" si="22"/>
        <v>0.030165700386790447</v>
      </c>
      <c r="S76">
        <f t="shared" si="23"/>
        <v>0.03043209719086459</v>
      </c>
      <c r="T76">
        <f t="shared" si="24"/>
        <v>0.030698493994938732</v>
      </c>
      <c r="U76">
        <f t="shared" si="25"/>
        <v>0.030964890799012545</v>
      </c>
      <c r="V76">
        <f t="shared" si="26"/>
        <v>0.031231287603086688</v>
      </c>
      <c r="W76" s="45">
        <f t="shared" si="7"/>
        <v>0.8521437889662113</v>
      </c>
      <c r="X76" s="45">
        <f t="shared" si="8"/>
        <v>1.0201028351615322</v>
      </c>
      <c r="Y76" s="45">
        <f t="shared" si="9"/>
        <v>0.9713361418446923</v>
      </c>
      <c r="Z76" s="45">
        <f t="shared" si="10"/>
        <v>0.9562712797735972</v>
      </c>
      <c r="AA76" s="45">
        <f t="shared" si="11"/>
        <v>0.8692742950897225</v>
      </c>
      <c r="AB76" s="45">
        <f t="shared" si="12"/>
        <v>0.8608880649823466</v>
      </c>
      <c r="AC76" s="45">
        <f t="shared" si="13"/>
        <v>0.8525827401264099</v>
      </c>
      <c r="AD76" s="45">
        <f t="shared" si="14"/>
        <v>0.8443575399972157</v>
      </c>
      <c r="AE76" s="45">
        <f t="shared" si="15"/>
        <v>0.8362116916000953</v>
      </c>
      <c r="AF76" s="45">
        <f t="shared" si="16"/>
        <v>0.8281444293977629</v>
      </c>
    </row>
    <row r="77" spans="1:32" ht="12.75">
      <c r="A77">
        <v>65</v>
      </c>
      <c r="B77">
        <f t="shared" si="4"/>
        <v>5.416666666666666</v>
      </c>
      <c r="C77">
        <f t="shared" si="32"/>
        <v>0.03</v>
      </c>
      <c r="D77">
        <f t="shared" si="32"/>
        <v>-0.0036759067258119353</v>
      </c>
      <c r="E77">
        <f t="shared" si="32"/>
        <v>0.005380602235939874</v>
      </c>
      <c r="F77">
        <f t="shared" si="32"/>
        <v>0.008339236775434303</v>
      </c>
      <c r="G77">
        <f t="shared" si="32"/>
        <v>0.026324093274188064</v>
      </c>
      <c r="H77">
        <f t="shared" si="32"/>
        <v>0.028117627352834688</v>
      </c>
      <c r="I77">
        <f t="shared" si="32"/>
        <v>0.029911161431481315</v>
      </c>
      <c r="J77">
        <f t="shared" si="32"/>
        <v>0.03170469551012794</v>
      </c>
      <c r="K77">
        <f t="shared" si="32"/>
        <v>0.03349822958877456</v>
      </c>
      <c r="L77">
        <f t="shared" si="30"/>
        <v>0.03529176366742119</v>
      </c>
      <c r="M77">
        <f t="shared" si="17"/>
        <v>0.030000000000000134</v>
      </c>
      <c r="N77">
        <f t="shared" si="18"/>
        <v>-9.26451762952588E-05</v>
      </c>
      <c r="O77">
        <f t="shared" si="19"/>
        <v>0.0007468713220274313</v>
      </c>
      <c r="P77">
        <f t="shared" si="20"/>
        <v>0.005486701631425664</v>
      </c>
      <c r="Q77">
        <f t="shared" si="21"/>
        <v>0.029907354823704876</v>
      </c>
      <c r="R77">
        <f t="shared" si="22"/>
        <v>0.03015631193104695</v>
      </c>
      <c r="S77">
        <f t="shared" si="23"/>
        <v>0.03040526903838969</v>
      </c>
      <c r="T77">
        <f t="shared" si="24"/>
        <v>0.030654226145732096</v>
      </c>
      <c r="U77">
        <f t="shared" si="25"/>
        <v>0.030903183253074507</v>
      </c>
      <c r="V77">
        <f t="shared" si="26"/>
        <v>0.031152140360417246</v>
      </c>
      <c r="W77" s="45">
        <f t="shared" si="7"/>
        <v>0.8500160902253981</v>
      </c>
      <c r="X77" s="45">
        <f t="shared" si="8"/>
        <v>1.020110710825851</v>
      </c>
      <c r="Y77" s="45">
        <f t="shared" si="9"/>
        <v>0.9712756884669663</v>
      </c>
      <c r="Z77" s="45">
        <f t="shared" si="10"/>
        <v>0.9558341484490256</v>
      </c>
      <c r="AA77" s="45">
        <f t="shared" si="11"/>
        <v>0.8671105180132415</v>
      </c>
      <c r="AB77" s="45">
        <f t="shared" si="12"/>
        <v>0.8587273470042573</v>
      </c>
      <c r="AC77" s="45">
        <f t="shared" si="13"/>
        <v>0.8504252239755546</v>
      </c>
      <c r="AD77" s="45">
        <f t="shared" si="14"/>
        <v>0.842203365360259</v>
      </c>
      <c r="AE77" s="45">
        <f t="shared" si="15"/>
        <v>0.8340609951669715</v>
      </c>
      <c r="AF77" s="45">
        <f t="shared" si="16"/>
        <v>0.825997344906531</v>
      </c>
    </row>
    <row r="78" spans="1:32" ht="12.75">
      <c r="A78">
        <v>66</v>
      </c>
      <c r="B78">
        <f aca="true" t="shared" si="34" ref="B78:B132">A78*$B$11</f>
        <v>5.5</v>
      </c>
      <c r="C78">
        <f t="shared" si="32"/>
        <v>0.03</v>
      </c>
      <c r="D78">
        <f t="shared" si="32"/>
        <v>-0.003621502649314676</v>
      </c>
      <c r="E78">
        <f t="shared" si="32"/>
        <v>0.005309650830818092</v>
      </c>
      <c r="F78">
        <f t="shared" si="32"/>
        <v>0.008293860223361963</v>
      </c>
      <c r="G78">
        <f t="shared" si="32"/>
        <v>0.026378497350685322</v>
      </c>
      <c r="H78">
        <f t="shared" si="32"/>
        <v>0.02814838096095802</v>
      </c>
      <c r="I78">
        <f t="shared" si="32"/>
        <v>0.029918264571230715</v>
      </c>
      <c r="J78">
        <f t="shared" si="32"/>
        <v>0.031688148181503416</v>
      </c>
      <c r="K78">
        <f t="shared" si="32"/>
        <v>0.03345803179177611</v>
      </c>
      <c r="L78">
        <f aca="true" t="shared" si="35" ref="L78:L109">IF($A78&gt;$L$4,L77,L$6+L$7*((1-EXP(-$B78/L$9))/($B78/L$9))+L$8*((1-EXP(-$B78/L$9))/($B78/L$9)-EXP(-$B78/L$9)))</f>
        <v>0.03522791540204881</v>
      </c>
      <c r="M78">
        <f t="shared" si="17"/>
        <v>0.029999999999999815</v>
      </c>
      <c r="N78">
        <f t="shared" si="18"/>
        <v>-8.523767699289359E-05</v>
      </c>
      <c r="O78">
        <f t="shared" si="19"/>
        <v>0.0006978094979022914</v>
      </c>
      <c r="P78">
        <f t="shared" si="20"/>
        <v>0.005344384338659847</v>
      </c>
      <c r="Q78">
        <f t="shared" si="21"/>
        <v>0.029914762323006838</v>
      </c>
      <c r="R78">
        <f t="shared" si="22"/>
        <v>0.03014736548897446</v>
      </c>
      <c r="S78">
        <f t="shared" si="23"/>
        <v>0.030379968654941754</v>
      </c>
      <c r="T78">
        <f t="shared" si="24"/>
        <v>0.030612571820909377</v>
      </c>
      <c r="U78">
        <f t="shared" si="25"/>
        <v>0.03084517498687667</v>
      </c>
      <c r="V78">
        <f t="shared" si="26"/>
        <v>0.03107777815284396</v>
      </c>
      <c r="W78" s="45">
        <f aca="true" t="shared" si="36" ref="W78:W132">EXP(-C78*$B78)</f>
        <v>0.8478937040879159</v>
      </c>
      <c r="X78" s="45">
        <f aca="true" t="shared" si="37" ref="X78:X132">EXP(-D78*$B78)</f>
        <v>1.0201179568405243</v>
      </c>
      <c r="Y78" s="45">
        <f aca="true" t="shared" si="38" ref="Y78:Y132">EXP(-E78*$B78)</f>
        <v>0.9712192096590848</v>
      </c>
      <c r="Z78" s="45">
        <f aca="true" t="shared" si="39" ref="Z78:Z132">EXP(-F78*$B78)</f>
        <v>0.9554085478088413</v>
      </c>
      <c r="AA78" s="45">
        <f aca="true" t="shared" si="40" ref="AA78:AA132">EXP(-G78*$B78)</f>
        <v>0.8649515930321089</v>
      </c>
      <c r="AB78" s="45">
        <f aca="true" t="shared" si="41" ref="AB78:AB132">EXP(-H78*$B78)</f>
        <v>0.8565726907557927</v>
      </c>
      <c r="AC78" s="45">
        <f aca="true" t="shared" si="42" ref="AC78:AC132">EXP(-I78*$B78)</f>
        <v>0.8482749560314199</v>
      </c>
      <c r="AD78" s="45">
        <f aca="true" t="shared" si="43" ref="AD78:AD132">EXP(-J78*$B78)</f>
        <v>0.8400576025780112</v>
      </c>
      <c r="AE78" s="45">
        <f aca="true" t="shared" si="44" ref="AE78:AE132">EXP(-K78*$B78)</f>
        <v>0.8319198517313966</v>
      </c>
      <c r="AF78" s="45">
        <f aca="true" t="shared" si="45" ref="AF78:AF132">EXP(-L78*$B78)</f>
        <v>0.8238609323704306</v>
      </c>
    </row>
    <row r="79" spans="1:32" ht="12.75">
      <c r="A79">
        <v>67</v>
      </c>
      <c r="B79">
        <f t="shared" si="34"/>
        <v>5.583333333333333</v>
      </c>
      <c r="C79">
        <f t="shared" si="32"/>
        <v>0.03</v>
      </c>
      <c r="D79">
        <f t="shared" si="32"/>
        <v>-0.003568620855274655</v>
      </c>
      <c r="E79">
        <f t="shared" si="32"/>
        <v>0.0052401309458372175</v>
      </c>
      <c r="F79">
        <f t="shared" si="32"/>
        <v>0.008247751041431675</v>
      </c>
      <c r="G79">
        <f t="shared" si="32"/>
        <v>0.026431379144725344</v>
      </c>
      <c r="H79">
        <f t="shared" si="32"/>
        <v>0.028178089460004416</v>
      </c>
      <c r="I79">
        <f t="shared" si="32"/>
        <v>0.02992479977528349</v>
      </c>
      <c r="J79">
        <f t="shared" si="32"/>
        <v>0.031671510090562564</v>
      </c>
      <c r="K79">
        <f t="shared" si="32"/>
        <v>0.03341822040584164</v>
      </c>
      <c r="L79">
        <f t="shared" si="35"/>
        <v>0.03516493072112071</v>
      </c>
      <c r="M79">
        <f aca="true" t="shared" si="46" ref="M79:M132">(C79*$B79-C78*$B78)/($B79-$B78)</f>
        <v>0.030000000000000134</v>
      </c>
      <c r="N79">
        <f aca="true" t="shared" si="47" ref="N79:N132">(D79*$B79-D78*$B78)/($B79-$B78)</f>
        <v>-7.842244863323661E-05</v>
      </c>
      <c r="O79">
        <f aca="true" t="shared" si="48" ref="O79:O132">(E79*$B79-E78*$B78)/($B79-$B78)</f>
        <v>0.0006518185370994629</v>
      </c>
      <c r="P79">
        <f aca="true" t="shared" si="49" ref="P79:P132">(F79*$B79-F78*$B78)/($B79-$B78)</f>
        <v>0.005204545034032661</v>
      </c>
      <c r="Q79">
        <f aca="true" t="shared" si="50" ref="Q79:Q132">(G79*$B79-G78*$B78)/($B79-$B78)</f>
        <v>0.029921577551366815</v>
      </c>
      <c r="R79">
        <f aca="true" t="shared" si="51" ref="R79:R132">(H79*$B79-H78*$B78)/($B79-$B78)</f>
        <v>0.030138850397066538</v>
      </c>
      <c r="S79">
        <f aca="true" t="shared" si="52" ref="S79:S132">(I79*$B79-I78*$B78)/($B79-$B78)</f>
        <v>0.030356123242766594</v>
      </c>
      <c r="T79">
        <f aca="true" t="shared" si="53" ref="T79:T132">(J79*$B79-J78*$B78)/($B79-$B78)</f>
        <v>0.030573396088466317</v>
      </c>
      <c r="U79">
        <f aca="true" t="shared" si="54" ref="U79:U132">(K79*$B79-K78*$B78)/($B79-$B78)</f>
        <v>0.030790668934166376</v>
      </c>
      <c r="V79">
        <f aca="true" t="shared" si="55" ref="V79:V132">(L79*$B79-L78*$B78)/($B79-$B78)</f>
        <v>0.0310079417798661</v>
      </c>
      <c r="W79" s="45">
        <f t="shared" si="36"/>
        <v>0.8457766172888441</v>
      </c>
      <c r="X79" s="45">
        <f t="shared" si="37"/>
        <v>1.0201246235413144</v>
      </c>
      <c r="Y79" s="45">
        <f t="shared" si="38"/>
        <v>0.9711664562014642</v>
      </c>
      <c r="Z79" s="45">
        <f t="shared" si="39"/>
        <v>0.9549942654205605</v>
      </c>
      <c r="AA79" s="45">
        <f t="shared" si="40"/>
        <v>0.8627975533118284</v>
      </c>
      <c r="AB79" s="45">
        <f t="shared" si="41"/>
        <v>0.8544240471055827</v>
      </c>
      <c r="AC79" s="45">
        <f t="shared" si="42"/>
        <v>0.8461318063200801</v>
      </c>
      <c r="AD79" s="45">
        <f t="shared" si="43"/>
        <v>0.8379200422691424</v>
      </c>
      <c r="AE79" s="45">
        <f t="shared" si="44"/>
        <v>0.8297879739208417</v>
      </c>
      <c r="AF79" s="45">
        <f t="shared" si="45"/>
        <v>0.8217348278232159</v>
      </c>
    </row>
    <row r="80" spans="1:32" ht="12.75">
      <c r="A80">
        <v>68</v>
      </c>
      <c r="B80">
        <f t="shared" si="34"/>
        <v>5.666666666666666</v>
      </c>
      <c r="C80">
        <f t="shared" si="32"/>
        <v>0.03</v>
      </c>
      <c r="D80">
        <f t="shared" si="32"/>
        <v>-0.0035172021976360075</v>
      </c>
      <c r="E80">
        <f t="shared" si="32"/>
        <v>0.005172021976360068</v>
      </c>
      <c r="F80">
        <f t="shared" si="32"/>
        <v>0.008200978503924905</v>
      </c>
      <c r="G80">
        <f t="shared" si="32"/>
        <v>0.02648279780236399</v>
      </c>
      <c r="H80">
        <f t="shared" si="32"/>
        <v>0.028206805127817345</v>
      </c>
      <c r="I80">
        <f t="shared" si="32"/>
        <v>0.029930812453270703</v>
      </c>
      <c r="J80">
        <f t="shared" si="32"/>
        <v>0.03165481977872406</v>
      </c>
      <c r="K80">
        <f t="shared" si="32"/>
        <v>0.033378827104177416</v>
      </c>
      <c r="L80">
        <f t="shared" si="35"/>
        <v>0.035102834429630775</v>
      </c>
      <c r="M80">
        <f t="shared" si="46"/>
        <v>0.030000000000000134</v>
      </c>
      <c r="N80">
        <f t="shared" si="47"/>
        <v>-7.215213584661787E-05</v>
      </c>
      <c r="O80">
        <f t="shared" si="48"/>
        <v>0.0006087210213910643</v>
      </c>
      <c r="P80">
        <f t="shared" si="49"/>
        <v>0.005067218490971322</v>
      </c>
      <c r="Q80">
        <f t="shared" si="50"/>
        <v>0.029927847864153475</v>
      </c>
      <c r="R80">
        <f t="shared" si="51"/>
        <v>0.0301307548712838</v>
      </c>
      <c r="S80">
        <f t="shared" si="52"/>
        <v>0.030333661878413794</v>
      </c>
      <c r="T80">
        <f t="shared" si="53"/>
        <v>0.03053656888554412</v>
      </c>
      <c r="U80">
        <f t="shared" si="54"/>
        <v>0.03073947589267478</v>
      </c>
      <c r="V80">
        <f t="shared" si="55"/>
        <v>0.030942382899805443</v>
      </c>
      <c r="W80" s="45">
        <f t="shared" si="36"/>
        <v>0.8436648165963837</v>
      </c>
      <c r="X80" s="45">
        <f t="shared" si="37"/>
        <v>1.0201307572406224</v>
      </c>
      <c r="Y80" s="45">
        <f t="shared" si="38"/>
        <v>0.9711171933311843</v>
      </c>
      <c r="Z80" s="45">
        <f t="shared" si="39"/>
        <v>0.9545910868345917</v>
      </c>
      <c r="AA80" s="45">
        <f t="shared" si="40"/>
        <v>0.8606484282117398</v>
      </c>
      <c r="AB80" s="45">
        <f t="shared" si="41"/>
        <v>0.8522813681269827</v>
      </c>
      <c r="AC80" s="45">
        <f t="shared" si="42"/>
        <v>0.8439956510066314</v>
      </c>
      <c r="AD80" s="45">
        <f t="shared" si="43"/>
        <v>0.8357904860498799</v>
      </c>
      <c r="AE80" s="45">
        <f t="shared" si="44"/>
        <v>0.8276650901439373</v>
      </c>
      <c r="AF80" s="45">
        <f t="shared" si="45"/>
        <v>0.8196186877892856</v>
      </c>
    </row>
    <row r="81" spans="1:32" ht="12.75">
      <c r="A81">
        <v>69</v>
      </c>
      <c r="B81">
        <f t="shared" si="34"/>
        <v>5.75</v>
      </c>
      <c r="C81">
        <f t="shared" si="32"/>
        <v>0.03</v>
      </c>
      <c r="D81">
        <f t="shared" si="32"/>
        <v>-0.0034671903276643143</v>
      </c>
      <c r="E81">
        <f t="shared" si="32"/>
        <v>0.005105302067601181</v>
      </c>
      <c r="F81">
        <f t="shared" si="32"/>
        <v>0.00815360827223857</v>
      </c>
      <c r="G81">
        <f t="shared" si="32"/>
        <v>0.026532809672335685</v>
      </c>
      <c r="H81">
        <f t="shared" si="32"/>
        <v>0.028234577028202746</v>
      </c>
      <c r="I81">
        <f t="shared" si="32"/>
        <v>0.029936344384069807</v>
      </c>
      <c r="J81">
        <f t="shared" si="32"/>
        <v>0.031638111739936865</v>
      </c>
      <c r="K81">
        <f t="shared" si="32"/>
        <v>0.03333987909580392</v>
      </c>
      <c r="L81">
        <f t="shared" si="35"/>
        <v>0.03504164645167099</v>
      </c>
      <c r="M81">
        <f t="shared" si="46"/>
        <v>0.029999999999999815</v>
      </c>
      <c r="N81">
        <f t="shared" si="47"/>
        <v>-6.638316958916487E-05</v>
      </c>
      <c r="O81">
        <f t="shared" si="48"/>
        <v>0.0005683482719968618</v>
      </c>
      <c r="P81">
        <f t="shared" si="49"/>
        <v>0.004932432517567829</v>
      </c>
      <c r="Q81">
        <f t="shared" si="50"/>
        <v>0.029933616830410858</v>
      </c>
      <c r="R81">
        <f t="shared" si="51"/>
        <v>0.030123066254409976</v>
      </c>
      <c r="S81">
        <f t="shared" si="52"/>
        <v>0.030312515678409098</v>
      </c>
      <c r="T81">
        <f t="shared" si="53"/>
        <v>0.030501965102407887</v>
      </c>
      <c r="U81">
        <f t="shared" si="54"/>
        <v>0.03069141452640634</v>
      </c>
      <c r="V81">
        <f t="shared" si="55"/>
        <v>0.03088086395040546</v>
      </c>
      <c r="W81" s="45">
        <f t="shared" si="36"/>
        <v>0.8415582888117733</v>
      </c>
      <c r="X81" s="45">
        <f t="shared" si="37"/>
        <v>1.0201364005489868</v>
      </c>
      <c r="Y81" s="45">
        <f t="shared" si="38"/>
        <v>0.9710712000221405</v>
      </c>
      <c r="Z81" s="45">
        <f t="shared" si="39"/>
        <v>0.9541987961197861</v>
      </c>
      <c r="AA81" s="45">
        <f t="shared" si="40"/>
        <v>0.858504243600607</v>
      </c>
      <c r="AB81" s="45">
        <f t="shared" si="41"/>
        <v>0.8501446071470946</v>
      </c>
      <c r="AC81" s="45">
        <f t="shared" si="42"/>
        <v>0.8418663721801278</v>
      </c>
      <c r="AD81" s="45">
        <f t="shared" si="43"/>
        <v>0.8336687460573415</v>
      </c>
      <c r="AE81" s="45">
        <f t="shared" si="44"/>
        <v>0.8255509438546804</v>
      </c>
      <c r="AF81" s="45">
        <f t="shared" si="45"/>
        <v>0.8175121882912427</v>
      </c>
    </row>
    <row r="82" spans="1:32" ht="12.75">
      <c r="A82">
        <v>70</v>
      </c>
      <c r="B82">
        <f t="shared" si="34"/>
        <v>5.833333333333333</v>
      </c>
      <c r="C82">
        <f t="shared" si="32"/>
        <v>0.03</v>
      </c>
      <c r="D82">
        <f t="shared" si="32"/>
        <v>-0.0034185315439034807</v>
      </c>
      <c r="E82">
        <f t="shared" si="32"/>
        <v>0.005039948325010675</v>
      </c>
      <c r="F82">
        <f t="shared" si="32"/>
        <v>0.008105702560737758</v>
      </c>
      <c r="G82">
        <f t="shared" si="32"/>
        <v>0.02658146845609652</v>
      </c>
      <c r="H82">
        <f t="shared" si="32"/>
        <v>0.028261451231100077</v>
      </c>
      <c r="I82">
        <f t="shared" si="32"/>
        <v>0.029941434006103634</v>
      </c>
      <c r="J82">
        <f t="shared" si="32"/>
        <v>0.03162141678110719</v>
      </c>
      <c r="K82">
        <f t="shared" si="32"/>
        <v>0.03330139955611075</v>
      </c>
      <c r="L82">
        <f t="shared" si="35"/>
        <v>0.03498138233111431</v>
      </c>
      <c r="M82">
        <f t="shared" si="46"/>
        <v>0.030000000000000134</v>
      </c>
      <c r="N82">
        <f t="shared" si="47"/>
        <v>-6.1075464405966E-05</v>
      </c>
      <c r="O82">
        <f t="shared" si="48"/>
        <v>0.0005305400862657702</v>
      </c>
      <c r="P82">
        <f t="shared" si="49"/>
        <v>0.004800208467181672</v>
      </c>
      <c r="Q82">
        <f t="shared" si="50"/>
        <v>0.02993892453559421</v>
      </c>
      <c r="R82">
        <f t="shared" si="51"/>
        <v>0.03011577123101594</v>
      </c>
      <c r="S82">
        <f t="shared" si="52"/>
        <v>0.030292617926437667</v>
      </c>
      <c r="T82">
        <f t="shared" si="53"/>
        <v>0.03046946462185973</v>
      </c>
      <c r="U82">
        <f t="shared" si="54"/>
        <v>0.03064631131728179</v>
      </c>
      <c r="V82">
        <f t="shared" si="55"/>
        <v>0.03082315801270319</v>
      </c>
      <c r="W82" s="45">
        <f t="shared" si="36"/>
        <v>0.8394570207692074</v>
      </c>
      <c r="X82" s="45">
        <f t="shared" si="37"/>
        <v>1.0201415926709014</v>
      </c>
      <c r="Y82" s="45">
        <f t="shared" si="38"/>
        <v>0.9710282682880036</v>
      </c>
      <c r="Z82" s="45">
        <f t="shared" si="39"/>
        <v>0.9538171763570998</v>
      </c>
      <c r="AA82" s="45">
        <f t="shared" si="40"/>
        <v>0.8563650221462692</v>
      </c>
      <c r="AB82" s="45">
        <f t="shared" si="41"/>
        <v>0.8480137187797787</v>
      </c>
      <c r="AC82" s="45">
        <f t="shared" si="42"/>
        <v>0.8397438576325703</v>
      </c>
      <c r="AD82" s="45">
        <f t="shared" si="43"/>
        <v>0.8315546444771097</v>
      </c>
      <c r="AE82" s="45">
        <f t="shared" si="44"/>
        <v>0.8234452928311987</v>
      </c>
      <c r="AF82" s="45">
        <f t="shared" si="45"/>
        <v>0.8154150238824427</v>
      </c>
    </row>
    <row r="83" spans="1:32" ht="12.75">
      <c r="A83">
        <v>71</v>
      </c>
      <c r="B83">
        <f t="shared" si="34"/>
        <v>5.916666666666666</v>
      </c>
      <c r="C83">
        <f t="shared" si="32"/>
        <v>0.03</v>
      </c>
      <c r="D83">
        <f t="shared" si="32"/>
        <v>-0.0033711746508893136</v>
      </c>
      <c r="E83">
        <f t="shared" si="32"/>
        <v>0.004975937002976624</v>
      </c>
      <c r="F83">
        <f t="shared" si="32"/>
        <v>0.008057320295360743</v>
      </c>
      <c r="G83">
        <f t="shared" si="32"/>
        <v>0.026628825349110687</v>
      </c>
      <c r="H83">
        <f t="shared" si="32"/>
        <v>0.02828747101676956</v>
      </c>
      <c r="I83">
        <f t="shared" si="32"/>
        <v>0.029946116684428436</v>
      </c>
      <c r="J83">
        <f t="shared" si="32"/>
        <v>0.03160476235208731</v>
      </c>
      <c r="K83">
        <f t="shared" si="32"/>
        <v>0.033263408019746185</v>
      </c>
      <c r="L83">
        <f t="shared" si="35"/>
        <v>0.03492205368740506</v>
      </c>
      <c r="M83">
        <f t="shared" si="46"/>
        <v>0.0299999999999998</v>
      </c>
      <c r="N83">
        <f t="shared" si="47"/>
        <v>-5.619213989761804E-05</v>
      </c>
      <c r="O83">
        <f t="shared" si="48"/>
        <v>0.0004951444605930267</v>
      </c>
      <c r="P83">
        <f t="shared" si="49"/>
        <v>0.00467056171896964</v>
      </c>
      <c r="Q83">
        <f t="shared" si="50"/>
        <v>0.029943807860102308</v>
      </c>
      <c r="R83">
        <f t="shared" si="51"/>
        <v>0.03010885601363322</v>
      </c>
      <c r="S83">
        <f t="shared" si="52"/>
        <v>0.030273904167164464</v>
      </c>
      <c r="T83">
        <f t="shared" si="53"/>
        <v>0.030438952320695708</v>
      </c>
      <c r="U83">
        <f t="shared" si="54"/>
        <v>0.03060400047422662</v>
      </c>
      <c r="V83">
        <f t="shared" si="55"/>
        <v>0.030769048627757534</v>
      </c>
      <c r="W83" s="45">
        <f t="shared" si="36"/>
        <v>0.8373609993357539</v>
      </c>
      <c r="X83" s="45">
        <f t="shared" si="37"/>
        <v>1.0201463696770103</v>
      </c>
      <c r="Y83" s="45">
        <f t="shared" si="38"/>
        <v>0.9709882025089304</v>
      </c>
      <c r="Z83" s="45">
        <f t="shared" si="39"/>
        <v>0.9534460100940088</v>
      </c>
      <c r="AA83" s="45">
        <f t="shared" si="40"/>
        <v>0.8542307835814827</v>
      </c>
      <c r="AB83" s="45">
        <f t="shared" si="41"/>
        <v>0.8458886589449579</v>
      </c>
      <c r="AC83" s="45">
        <f t="shared" si="42"/>
        <v>0.8376280006343826</v>
      </c>
      <c r="AD83" s="45">
        <f t="shared" si="43"/>
        <v>0.829448013077579</v>
      </c>
      <c r="AE83" s="45">
        <f t="shared" si="44"/>
        <v>0.8213479084716543</v>
      </c>
      <c r="AF83" s="45">
        <f t="shared" si="45"/>
        <v>0.8133269067071284</v>
      </c>
    </row>
    <row r="84" spans="1:32" ht="12.75">
      <c r="A84">
        <v>72</v>
      </c>
      <c r="B84">
        <f t="shared" si="34"/>
        <v>6</v>
      </c>
      <c r="C84">
        <f t="shared" si="32"/>
        <v>0.03</v>
      </c>
      <c r="D84">
        <f t="shared" si="32"/>
        <v>-0.003325070826077779</v>
      </c>
      <c r="E84">
        <f t="shared" si="32"/>
        <v>0.004913243673816678</v>
      </c>
      <c r="F84">
        <f t="shared" si="32"/>
        <v>0.008008517265285441</v>
      </c>
      <c r="G84">
        <f t="shared" si="32"/>
        <v>0.02667492917392222</v>
      </c>
      <c r="H84">
        <f t="shared" si="32"/>
        <v>0.028312677065194445</v>
      </c>
      <c r="I84">
        <f t="shared" si="32"/>
        <v>0.029950424956466673</v>
      </c>
      <c r="J84">
        <f t="shared" si="32"/>
        <v>0.0315881728477389</v>
      </c>
      <c r="K84">
        <f t="shared" si="32"/>
        <v>0.03322592073901112</v>
      </c>
      <c r="L84">
        <f t="shared" si="35"/>
        <v>0.034863668630283354</v>
      </c>
      <c r="M84">
        <f t="shared" si="46"/>
        <v>0.030000000000000148</v>
      </c>
      <c r="N84">
        <f t="shared" si="47"/>
        <v>-5.169926445884562E-05</v>
      </c>
      <c r="O84">
        <f t="shared" si="48"/>
        <v>0.0004620173034605818</v>
      </c>
      <c r="P84">
        <f t="shared" si="49"/>
        <v>0.0045435021299391155</v>
      </c>
      <c r="Q84">
        <f t="shared" si="50"/>
        <v>0.02994830073554101</v>
      </c>
      <c r="R84">
        <f t="shared" si="51"/>
        <v>0.030102306503361438</v>
      </c>
      <c r="S84">
        <f t="shared" si="52"/>
        <v>0.030256312271181536</v>
      </c>
      <c r="T84">
        <f t="shared" si="53"/>
        <v>0.0304103180390013</v>
      </c>
      <c r="U84">
        <f t="shared" si="54"/>
        <v>0.03056432380682173</v>
      </c>
      <c r="V84">
        <f t="shared" si="55"/>
        <v>0.030718329574642492</v>
      </c>
      <c r="W84" s="45">
        <f t="shared" si="36"/>
        <v>0.835270211411272</v>
      </c>
      <c r="X84" s="45">
        <f t="shared" si="37"/>
        <v>1.0201507647545573</v>
      </c>
      <c r="Y84" s="45">
        <f t="shared" si="38"/>
        <v>0.9709508187826807</v>
      </c>
      <c r="Z84" s="45">
        <f t="shared" si="39"/>
        <v>0.9530850797621724</v>
      </c>
      <c r="AA84" s="45">
        <f t="shared" si="40"/>
        <v>0.8521015449479099</v>
      </c>
      <c r="AB84" s="45">
        <f t="shared" si="41"/>
        <v>0.8437693848762469</v>
      </c>
      <c r="AC84" s="45">
        <f t="shared" si="42"/>
        <v>0.8355186997084512</v>
      </c>
      <c r="AD84" s="45">
        <f t="shared" si="43"/>
        <v>0.8273486927531604</v>
      </c>
      <c r="AE84" s="45">
        <f t="shared" si="44"/>
        <v>0.8192585751093507</v>
      </c>
      <c r="AF84" s="45">
        <f t="shared" si="45"/>
        <v>0.8112475655901614</v>
      </c>
    </row>
    <row r="85" spans="1:32" ht="12.75">
      <c r="A85">
        <v>73</v>
      </c>
      <c r="B85">
        <f t="shared" si="34"/>
        <v>6.083333333333333</v>
      </c>
      <c r="C85">
        <f t="shared" si="32"/>
        <v>0.03</v>
      </c>
      <c r="D85">
        <f t="shared" si="32"/>
        <v>-0.0032801734944809023</v>
      </c>
      <c r="E85">
        <f t="shared" si="32"/>
        <v>0.004851843378859589</v>
      </c>
      <c r="F85">
        <f t="shared" si="32"/>
        <v>0.007959346267953612</v>
      </c>
      <c r="G85">
        <f t="shared" si="32"/>
        <v>0.026719826505519097</v>
      </c>
      <c r="H85">
        <f t="shared" si="32"/>
        <v>0.02833710763180563</v>
      </c>
      <c r="I85">
        <f t="shared" si="32"/>
        <v>0.029954388758092157</v>
      </c>
      <c r="J85">
        <f t="shared" si="32"/>
        <v>0.031571669884378685</v>
      </c>
      <c r="K85">
        <f t="shared" si="32"/>
        <v>0.03318895101066521</v>
      </c>
      <c r="L85">
        <f t="shared" si="35"/>
        <v>0.03480623213695175</v>
      </c>
      <c r="M85">
        <f t="shared" si="46"/>
        <v>0.030000000000000134</v>
      </c>
      <c r="N85">
        <f t="shared" si="47"/>
        <v>-4.7565619505765713E-05</v>
      </c>
      <c r="O85">
        <f t="shared" si="48"/>
        <v>0.0004310221419491515</v>
      </c>
      <c r="P85">
        <f t="shared" si="49"/>
        <v>0.004419034460061826</v>
      </c>
      <c r="Q85">
        <f t="shared" si="50"/>
        <v>0.029952434380494327</v>
      </c>
      <c r="R85">
        <f t="shared" si="51"/>
        <v>0.03009610842781096</v>
      </c>
      <c r="S85">
        <f t="shared" si="52"/>
        <v>0.030239782475126927</v>
      </c>
      <c r="T85">
        <f t="shared" si="53"/>
        <v>0.03038345652244356</v>
      </c>
      <c r="U85">
        <f t="shared" si="54"/>
        <v>0.03052713056975986</v>
      </c>
      <c r="V85">
        <f t="shared" si="55"/>
        <v>0.03067080461707616</v>
      </c>
      <c r="W85" s="45">
        <f t="shared" si="36"/>
        <v>0.8331846439283305</v>
      </c>
      <c r="X85" s="45">
        <f t="shared" si="37"/>
        <v>1.020154808437831</v>
      </c>
      <c r="Y85" s="45">
        <f t="shared" si="38"/>
        <v>0.9709159443005343</v>
      </c>
      <c r="Z85" s="45">
        <f t="shared" si="39"/>
        <v>0.9527341680606889</v>
      </c>
      <c r="AA85" s="45">
        <f t="shared" si="40"/>
        <v>0.8499773208200484</v>
      </c>
      <c r="AB85" s="45">
        <f t="shared" si="41"/>
        <v>0.8416558551186971</v>
      </c>
      <c r="AC85" s="45">
        <f t="shared" si="42"/>
        <v>0.8334158584044855</v>
      </c>
      <c r="AD85" s="45">
        <f t="shared" si="43"/>
        <v>0.8252565330780355</v>
      </c>
      <c r="AE85" s="45">
        <f t="shared" si="44"/>
        <v>0.8171770893486435</v>
      </c>
      <c r="AF85" s="45">
        <f t="shared" si="45"/>
        <v>0.8091767451578313</v>
      </c>
    </row>
    <row r="86" spans="1:32" ht="12.75">
      <c r="A86">
        <v>74</v>
      </c>
      <c r="B86">
        <f t="shared" si="34"/>
        <v>6.166666666666666</v>
      </c>
      <c r="C86">
        <f t="shared" si="32"/>
        <v>0.03</v>
      </c>
      <c r="D86">
        <f t="shared" si="32"/>
        <v>-0.003236438210535954</v>
      </c>
      <c r="E86">
        <f t="shared" si="32"/>
        <v>0.004791710763261504</v>
      </c>
      <c r="F86">
        <f t="shared" si="32"/>
        <v>0.00790985724773639</v>
      </c>
      <c r="G86">
        <f t="shared" si="32"/>
        <v>0.026763561789464044</v>
      </c>
      <c r="H86">
        <f t="shared" si="32"/>
        <v>0.02836079871055121</v>
      </c>
      <c r="I86">
        <f t="shared" si="32"/>
        <v>0.02995803563163838</v>
      </c>
      <c r="J86">
        <f t="shared" si="32"/>
        <v>0.03155527255272555</v>
      </c>
      <c r="K86">
        <f t="shared" si="32"/>
        <v>0.033152509473812715</v>
      </c>
      <c r="L86">
        <f t="shared" si="35"/>
        <v>0.03474974639489988</v>
      </c>
      <c r="M86">
        <f t="shared" si="46"/>
        <v>0.0299999999999998</v>
      </c>
      <c r="N86">
        <f t="shared" si="47"/>
        <v>-4.376248255473518E-05</v>
      </c>
      <c r="O86">
        <f t="shared" si="48"/>
        <v>0.0004020298246012341</v>
      </c>
      <c r="P86">
        <f t="shared" si="49"/>
        <v>0.004297158771879183</v>
      </c>
      <c r="Q86">
        <f t="shared" si="50"/>
        <v>0.029956237517445358</v>
      </c>
      <c r="R86">
        <f t="shared" si="51"/>
        <v>0.0300902474589787</v>
      </c>
      <c r="S86">
        <f t="shared" si="52"/>
        <v>0.030224257400512707</v>
      </c>
      <c r="T86">
        <f t="shared" si="53"/>
        <v>0.030358267342046382</v>
      </c>
      <c r="U86">
        <f t="shared" si="54"/>
        <v>0.03049227728358039</v>
      </c>
      <c r="V86">
        <f t="shared" si="55"/>
        <v>0.030626287225113732</v>
      </c>
      <c r="W86" s="45">
        <f t="shared" si="36"/>
        <v>0.8311042838521256</v>
      </c>
      <c r="X86" s="45">
        <f t="shared" si="37"/>
        <v>1.0201585288201989</v>
      </c>
      <c r="Y86" s="45">
        <f t="shared" si="38"/>
        <v>0.9708834167481818</v>
      </c>
      <c r="Z86" s="45">
        <f t="shared" si="39"/>
        <v>0.9523930583071535</v>
      </c>
      <c r="AA86" s="45">
        <f t="shared" si="40"/>
        <v>0.8478581235107494</v>
      </c>
      <c r="AB86" s="45">
        <f t="shared" si="41"/>
        <v>0.8395480295182328</v>
      </c>
      <c r="AC86" s="45">
        <f t="shared" si="42"/>
        <v>0.8313193850751744</v>
      </c>
      <c r="AD86" s="45">
        <f t="shared" si="43"/>
        <v>0.8231713918718183</v>
      </c>
      <c r="AE86" s="45">
        <f t="shared" si="44"/>
        <v>0.8151032594228652</v>
      </c>
      <c r="AF86" s="45">
        <f t="shared" si="45"/>
        <v>0.8071142049907828</v>
      </c>
    </row>
    <row r="87" spans="1:32" ht="12.75">
      <c r="A87">
        <v>75</v>
      </c>
      <c r="B87">
        <f t="shared" si="34"/>
        <v>6.25</v>
      </c>
      <c r="C87">
        <f t="shared" si="32"/>
        <v>0.03</v>
      </c>
      <c r="D87">
        <f t="shared" si="32"/>
        <v>-0.0031938225467640713</v>
      </c>
      <c r="E87">
        <f t="shared" si="32"/>
        <v>0.004732820196059275</v>
      </c>
      <c r="F87">
        <f t="shared" si="32"/>
        <v>0.007860097428513063</v>
      </c>
      <c r="G87">
        <f t="shared" si="32"/>
        <v>0.02680617745323593</v>
      </c>
      <c r="H87">
        <f t="shared" si="32"/>
        <v>0.028383784185255688</v>
      </c>
      <c r="I87">
        <f t="shared" si="32"/>
        <v>0.029961390917275444</v>
      </c>
      <c r="J87">
        <f t="shared" si="32"/>
        <v>0.0315389976492952</v>
      </c>
      <c r="K87">
        <f t="shared" si="32"/>
        <v>0.03311660438131496</v>
      </c>
      <c r="L87">
        <f t="shared" si="35"/>
        <v>0.03469421111333472</v>
      </c>
      <c r="M87">
        <f t="shared" si="46"/>
        <v>0.030000000000000148</v>
      </c>
      <c r="N87">
        <f t="shared" si="47"/>
        <v>-4.0263427644751375E-05</v>
      </c>
      <c r="O87">
        <f t="shared" si="48"/>
        <v>0.00037491822309441714</v>
      </c>
      <c r="P87">
        <f t="shared" si="49"/>
        <v>0.004177870805986942</v>
      </c>
      <c r="Q87">
        <f t="shared" si="50"/>
        <v>0.029959736572355188</v>
      </c>
      <c r="R87">
        <f t="shared" si="51"/>
        <v>0.03008470931338692</v>
      </c>
      <c r="S87">
        <f t="shared" si="52"/>
        <v>0.030209682054418326</v>
      </c>
      <c r="T87">
        <f t="shared" si="53"/>
        <v>0.03033465479544973</v>
      </c>
      <c r="U87">
        <f t="shared" si="54"/>
        <v>0.0304596275364808</v>
      </c>
      <c r="V87">
        <f t="shared" si="55"/>
        <v>0.030584600277512534</v>
      </c>
      <c r="W87" s="45">
        <f t="shared" si="36"/>
        <v>0.8290291181804004</v>
      </c>
      <c r="X87" s="45">
        <f t="shared" si="37"/>
        <v>1.0201619517492004</v>
      </c>
      <c r="Y87" s="45">
        <f t="shared" si="38"/>
        <v>0.9708530837315811</v>
      </c>
      <c r="Z87" s="45">
        <f t="shared" si="39"/>
        <v>0.9520615347585982</v>
      </c>
      <c r="AA87" s="45">
        <f t="shared" si="40"/>
        <v>0.8457439632598358</v>
      </c>
      <c r="AB87" s="45">
        <f t="shared" si="41"/>
        <v>0.8374458692041585</v>
      </c>
      <c r="AC87" s="45">
        <f t="shared" si="42"/>
        <v>0.8292291926553724</v>
      </c>
      <c r="AD87" s="45">
        <f t="shared" si="43"/>
        <v>0.8210931347781806</v>
      </c>
      <c r="AE87" s="45">
        <f t="shared" si="44"/>
        <v>0.8130369045751317</v>
      </c>
      <c r="AF87" s="45">
        <f t="shared" si="45"/>
        <v>0.8050597188097176</v>
      </c>
    </row>
    <row r="88" spans="1:32" ht="12.75">
      <c r="A88">
        <v>76</v>
      </c>
      <c r="B88">
        <f t="shared" si="34"/>
        <v>6.333333333333333</v>
      </c>
      <c r="C88">
        <f t="shared" si="32"/>
        <v>0.03</v>
      </c>
      <c r="D88">
        <f t="shared" si="32"/>
        <v>-0.0031522859888029444</v>
      </c>
      <c r="E88">
        <f t="shared" si="32"/>
        <v>0.004675145876832385</v>
      </c>
      <c r="F88">
        <f t="shared" si="32"/>
        <v>0.0078101114404233</v>
      </c>
      <c r="G88">
        <f t="shared" si="32"/>
        <v>0.026847714011197055</v>
      </c>
      <c r="H88">
        <f t="shared" si="32"/>
        <v>0.028406095970141182</v>
      </c>
      <c r="I88">
        <f t="shared" si="32"/>
        <v>0.029964477929085312</v>
      </c>
      <c r="J88">
        <f t="shared" si="32"/>
        <v>0.03152285988802944</v>
      </c>
      <c r="K88">
        <f t="shared" si="32"/>
        <v>0.03308124184697357</v>
      </c>
      <c r="L88">
        <f t="shared" si="35"/>
        <v>0.034639623805917695</v>
      </c>
      <c r="M88">
        <f t="shared" si="46"/>
        <v>0.0299999999999998</v>
      </c>
      <c r="N88">
        <f t="shared" si="47"/>
        <v>-3.7044141718414876E-05</v>
      </c>
      <c r="O88">
        <f t="shared" si="48"/>
        <v>0.00034957193481558027</v>
      </c>
      <c r="P88">
        <f t="shared" si="49"/>
        <v>0.004061162333691013</v>
      </c>
      <c r="Q88">
        <f t="shared" si="50"/>
        <v>0.029962955858281678</v>
      </c>
      <c r="R88">
        <f t="shared" si="51"/>
        <v>0.03007947983655301</v>
      </c>
      <c r="S88">
        <f t="shared" si="52"/>
        <v>0.03019600381482534</v>
      </c>
      <c r="T88">
        <f t="shared" si="53"/>
        <v>0.03031252779309734</v>
      </c>
      <c r="U88">
        <f t="shared" si="54"/>
        <v>0.03042905177136967</v>
      </c>
      <c r="V88">
        <f t="shared" si="55"/>
        <v>0.030545575749641004</v>
      </c>
      <c r="W88" s="45">
        <f t="shared" si="36"/>
        <v>0.8269591339433623</v>
      </c>
      <c r="X88" s="45">
        <f t="shared" si="37"/>
        <v>1.0201651010060544</v>
      </c>
      <c r="Y88" s="45">
        <f t="shared" si="38"/>
        <v>0.9708248022276087</v>
      </c>
      <c r="Z88" s="45">
        <f t="shared" si="39"/>
        <v>0.9517393829042705</v>
      </c>
      <c r="AA88" s="45">
        <f t="shared" si="40"/>
        <v>0.8436348484072096</v>
      </c>
      <c r="AB88" s="45">
        <f t="shared" si="41"/>
        <v>0.8353493365659524</v>
      </c>
      <c r="AC88" s="45">
        <f t="shared" si="42"/>
        <v>0.8271451984453296</v>
      </c>
      <c r="AD88" s="45">
        <f t="shared" si="43"/>
        <v>0.8190216348572479</v>
      </c>
      <c r="AE88" s="45">
        <f t="shared" si="44"/>
        <v>0.810977854462605</v>
      </c>
      <c r="AF88" s="45">
        <f t="shared" si="45"/>
        <v>0.8030130736942034</v>
      </c>
    </row>
    <row r="89" spans="1:32" ht="12.75">
      <c r="A89">
        <v>77</v>
      </c>
      <c r="B89">
        <f t="shared" si="34"/>
        <v>6.416666666666666</v>
      </c>
      <c r="C89">
        <f t="shared" si="32"/>
        <v>0.03</v>
      </c>
      <c r="D89">
        <f t="shared" si="32"/>
        <v>-0.00311178983642476</v>
      </c>
      <c r="E89">
        <f t="shared" si="32"/>
        <v>0.004618661930225452</v>
      </c>
      <c r="F89">
        <f t="shared" si="32"/>
        <v>0.0077599414410421995</v>
      </c>
      <c r="G89">
        <f t="shared" si="32"/>
        <v>0.02688821016357524</v>
      </c>
      <c r="H89">
        <f t="shared" si="32"/>
        <v>0.028427764140317058</v>
      </c>
      <c r="I89">
        <f t="shared" si="32"/>
        <v>0.029967318117058873</v>
      </c>
      <c r="J89">
        <f t="shared" si="32"/>
        <v>0.031506872093800695</v>
      </c>
      <c r="K89">
        <f t="shared" si="32"/>
        <v>0.033046426070542506</v>
      </c>
      <c r="L89">
        <f t="shared" si="35"/>
        <v>0.034585980047284325</v>
      </c>
      <c r="M89">
        <f t="shared" si="46"/>
        <v>0.030000000000000134</v>
      </c>
      <c r="N89">
        <f t="shared" si="47"/>
        <v>-3.4082255682729834E-05</v>
      </c>
      <c r="O89">
        <f t="shared" si="48"/>
        <v>0.0003258819880985209</v>
      </c>
      <c r="P89">
        <f t="shared" si="49"/>
        <v>0.003947021488078559</v>
      </c>
      <c r="Q89">
        <f t="shared" si="50"/>
        <v>0.029965917744317113</v>
      </c>
      <c r="R89">
        <f t="shared" si="51"/>
        <v>0.030074545073683675</v>
      </c>
      <c r="S89">
        <f t="shared" si="52"/>
        <v>0.03018317240304957</v>
      </c>
      <c r="T89">
        <f t="shared" si="53"/>
        <v>0.030291799732416132</v>
      </c>
      <c r="U89">
        <f t="shared" si="54"/>
        <v>0.030400427061781362</v>
      </c>
      <c r="V89">
        <f t="shared" si="55"/>
        <v>0.030509054391147924</v>
      </c>
      <c r="W89" s="45">
        <f t="shared" si="36"/>
        <v>0.8248943182036034</v>
      </c>
      <c r="X89" s="45">
        <f t="shared" si="37"/>
        <v>1.02016799847082</v>
      </c>
      <c r="Y89" s="45">
        <f t="shared" si="38"/>
        <v>0.9707984380592068</v>
      </c>
      <c r="Z89" s="45">
        <f t="shared" si="39"/>
        <v>0.9514263897320936</v>
      </c>
      <c r="AA89" s="45">
        <f t="shared" si="40"/>
        <v>0.8415307855517218</v>
      </c>
      <c r="AB89" s="45">
        <f t="shared" si="41"/>
        <v>0.8332583952254009</v>
      </c>
      <c r="AC89" s="45">
        <f t="shared" si="42"/>
        <v>0.8250673238987956</v>
      </c>
      <c r="AD89" s="45">
        <f t="shared" si="43"/>
        <v>0.8169567721923489</v>
      </c>
      <c r="AE89" s="45">
        <f t="shared" si="44"/>
        <v>0.8089259485845405</v>
      </c>
      <c r="AF89" s="45">
        <f t="shared" si="45"/>
        <v>0.8009740693346404</v>
      </c>
    </row>
    <row r="90" spans="1:32" ht="12.75">
      <c r="A90">
        <v>78</v>
      </c>
      <c r="B90">
        <f t="shared" si="34"/>
        <v>6.5</v>
      </c>
      <c r="C90">
        <f t="shared" si="32"/>
        <v>0.03</v>
      </c>
      <c r="D90">
        <f t="shared" si="32"/>
        <v>-0.0030722971101754537</v>
      </c>
      <c r="E90">
        <f t="shared" si="32"/>
        <v>0.0045633424894738536</v>
      </c>
      <c r="F90">
        <f t="shared" si="32"/>
        <v>0.007709627231217059</v>
      </c>
      <c r="G90">
        <f t="shared" si="32"/>
        <v>0.026927702889824545</v>
      </c>
      <c r="H90">
        <f t="shared" si="32"/>
        <v>0.028448817052982495</v>
      </c>
      <c r="I90">
        <f t="shared" si="32"/>
        <v>0.029969931216140448</v>
      </c>
      <c r="J90">
        <f t="shared" si="32"/>
        <v>0.0314910453792984</v>
      </c>
      <c r="K90">
        <f t="shared" si="32"/>
        <v>0.03301215954245635</v>
      </c>
      <c r="L90">
        <f t="shared" si="35"/>
        <v>0.0345332737056143</v>
      </c>
      <c r="M90">
        <f t="shared" si="46"/>
        <v>0.030000000000000148</v>
      </c>
      <c r="N90">
        <f t="shared" si="47"/>
        <v>-3.13571889788975E-05</v>
      </c>
      <c r="O90">
        <f t="shared" si="48"/>
        <v>0.0003037455516008403</v>
      </c>
      <c r="P90">
        <f t="shared" si="49"/>
        <v>0.003835433074681233</v>
      </c>
      <c r="Q90">
        <f t="shared" si="50"/>
        <v>0.029968642811021084</v>
      </c>
      <c r="R90">
        <f t="shared" si="51"/>
        <v>0.03006989132822136</v>
      </c>
      <c r="S90">
        <f t="shared" si="52"/>
        <v>0.030171139845421642</v>
      </c>
      <c r="T90">
        <f t="shared" si="53"/>
        <v>0.03027238836262159</v>
      </c>
      <c r="U90">
        <f t="shared" si="54"/>
        <v>0.030373636879822537</v>
      </c>
      <c r="V90">
        <f t="shared" si="55"/>
        <v>0.030474885397022485</v>
      </c>
      <c r="W90" s="45">
        <f t="shared" si="36"/>
        <v>0.8228346580560184</v>
      </c>
      <c r="X90" s="45">
        <f t="shared" si="37"/>
        <v>1.0201706642743629</v>
      </c>
      <c r="Y90" s="45">
        <f t="shared" si="38"/>
        <v>0.970773865394613</v>
      </c>
      <c r="Z90" s="45">
        <f t="shared" si="39"/>
        <v>0.9511223439705387</v>
      </c>
      <c r="AA90" s="45">
        <f t="shared" si="40"/>
        <v>0.8394317796969766</v>
      </c>
      <c r="AB90" s="45">
        <f t="shared" si="41"/>
        <v>0.831173010004999</v>
      </c>
      <c r="AC90" s="45">
        <f t="shared" si="42"/>
        <v>0.8229954944166602</v>
      </c>
      <c r="AD90" s="45">
        <f t="shared" si="43"/>
        <v>0.8148984335115131</v>
      </c>
      <c r="AE90" s="45">
        <f t="shared" si="44"/>
        <v>0.8068810357342282</v>
      </c>
      <c r="AF90" s="45">
        <f t="shared" si="45"/>
        <v>0.7989425173172118</v>
      </c>
    </row>
    <row r="91" spans="1:32" ht="12.75">
      <c r="A91">
        <v>79</v>
      </c>
      <c r="B91">
        <f t="shared" si="34"/>
        <v>6.583333333333333</v>
      </c>
      <c r="C91">
        <f t="shared" si="32"/>
        <v>0.03</v>
      </c>
      <c r="D91">
        <f t="shared" si="32"/>
        <v>-0.0030337724632944797</v>
      </c>
      <c r="E91">
        <f t="shared" si="32"/>
        <v>0.004509161769974705</v>
      </c>
      <c r="F91">
        <f t="shared" si="32"/>
        <v>0.007659206365794505</v>
      </c>
      <c r="G91">
        <f t="shared" si="32"/>
        <v>0.02696622753670552</v>
      </c>
      <c r="H91">
        <f t="shared" si="32"/>
        <v>0.028469281460030423</v>
      </c>
      <c r="I91">
        <f t="shared" si="32"/>
        <v>0.029972335383355322</v>
      </c>
      <c r="J91">
        <f t="shared" si="32"/>
        <v>0.03147538930668022</v>
      </c>
      <c r="K91">
        <f t="shared" si="32"/>
        <v>0.03297844323000512</v>
      </c>
      <c r="L91">
        <f t="shared" si="35"/>
        <v>0.03448149715333003</v>
      </c>
      <c r="M91">
        <f t="shared" si="46"/>
        <v>0.0299999999999998</v>
      </c>
      <c r="N91">
        <f t="shared" si="47"/>
        <v>-2.8850006578498668E-05</v>
      </c>
      <c r="O91">
        <f t="shared" si="48"/>
        <v>0.0002830656490410848</v>
      </c>
      <c r="P91">
        <f t="shared" si="49"/>
        <v>0.003726378862835347</v>
      </c>
      <c r="Q91">
        <f t="shared" si="50"/>
        <v>0.029971149993421427</v>
      </c>
      <c r="R91">
        <f t="shared" si="51"/>
        <v>0.03006550520976858</v>
      </c>
      <c r="S91">
        <f t="shared" si="52"/>
        <v>0.0301598604261154</v>
      </c>
      <c r="T91">
        <f t="shared" si="53"/>
        <v>0.03025421564246222</v>
      </c>
      <c r="U91">
        <f t="shared" si="54"/>
        <v>0.030348570858809373</v>
      </c>
      <c r="V91">
        <f t="shared" si="55"/>
        <v>0.03044292607515686</v>
      </c>
      <c r="W91" s="45">
        <f t="shared" si="36"/>
        <v>0.8207801406277248</v>
      </c>
      <c r="X91" s="45">
        <f t="shared" si="37"/>
        <v>1.0201731169381758</v>
      </c>
      <c r="Y91" s="45">
        <f t="shared" si="38"/>
        <v>0.9707509662701722</v>
      </c>
      <c r="Z91" s="45">
        <f t="shared" si="39"/>
        <v>0.950827036307543</v>
      </c>
      <c r="AA91" s="45">
        <f t="shared" si="40"/>
        <v>0.8373378343851403</v>
      </c>
      <c r="AB91" s="45">
        <f t="shared" si="41"/>
        <v>0.8290931468934204</v>
      </c>
      <c r="AC91" s="45">
        <f t="shared" si="42"/>
        <v>0.820929639146655</v>
      </c>
      <c r="AD91" s="45">
        <f t="shared" si="43"/>
        <v>0.8128465118239483</v>
      </c>
      <c r="AE91" s="45">
        <f t="shared" si="44"/>
        <v>0.8048429734747656</v>
      </c>
      <c r="AF91" s="45">
        <f t="shared" si="45"/>
        <v>0.7969182404414391</v>
      </c>
    </row>
    <row r="92" spans="1:32" ht="12.75">
      <c r="A92">
        <v>80</v>
      </c>
      <c r="B92">
        <f t="shared" si="34"/>
        <v>6.666666666666666</v>
      </c>
      <c r="C92">
        <f t="shared" si="32"/>
        <v>0.03</v>
      </c>
      <c r="D92">
        <f t="shared" si="32"/>
        <v>-0.002996182098595981</v>
      </c>
      <c r="E92">
        <f t="shared" si="32"/>
        <v>0.004456094133853777</v>
      </c>
      <c r="F92">
        <f t="shared" si="32"/>
        <v>0.007608714259457156</v>
      </c>
      <c r="G92">
        <f t="shared" si="32"/>
        <v>0.027003817901404017</v>
      </c>
      <c r="H92">
        <f t="shared" si="32"/>
        <v>0.02848918261268861</v>
      </c>
      <c r="I92">
        <f t="shared" si="32"/>
        <v>0.029974547323973203</v>
      </c>
      <c r="J92">
        <f t="shared" si="32"/>
        <v>0.031459912035257796</v>
      </c>
      <c r="K92">
        <f t="shared" si="32"/>
        <v>0.032945276746542386</v>
      </c>
      <c r="L92">
        <f t="shared" si="35"/>
        <v>0.03443064145782698</v>
      </c>
      <c r="M92">
        <f t="shared" si="46"/>
        <v>0.030000000000000134</v>
      </c>
      <c r="N92">
        <f t="shared" si="47"/>
        <v>-2.6543287414568334E-05</v>
      </c>
      <c r="O92">
        <f t="shared" si="48"/>
        <v>0.00026375088030043773</v>
      </c>
      <c r="P92">
        <f t="shared" si="49"/>
        <v>0.003619837858806609</v>
      </c>
      <c r="Q92">
        <f t="shared" si="50"/>
        <v>0.02997345671258544</v>
      </c>
      <c r="R92">
        <f t="shared" si="51"/>
        <v>0.030061373672685462</v>
      </c>
      <c r="S92">
        <f t="shared" si="52"/>
        <v>0.030149290632785816</v>
      </c>
      <c r="T92">
        <f t="shared" si="53"/>
        <v>0.03023720759288617</v>
      </c>
      <c r="U92">
        <f t="shared" si="54"/>
        <v>0.03032512455298619</v>
      </c>
      <c r="V92">
        <f t="shared" si="55"/>
        <v>0.030413041513086544</v>
      </c>
      <c r="W92" s="45">
        <f t="shared" si="36"/>
        <v>0.8187307530779818</v>
      </c>
      <c r="X92" s="45">
        <f t="shared" si="37"/>
        <v>1.0201753735030261</v>
      </c>
      <c r="Y92" s="45">
        <f t="shared" si="38"/>
        <v>0.9707296301361569</v>
      </c>
      <c r="Z92" s="45">
        <f t="shared" si="39"/>
        <v>0.9505402595880018</v>
      </c>
      <c r="AA92" s="45">
        <f t="shared" si="40"/>
        <v>0.835248951819744</v>
      </c>
      <c r="AB92" s="45">
        <f t="shared" si="41"/>
        <v>0.8270187730087497</v>
      </c>
      <c r="AC92" s="45">
        <f t="shared" si="42"/>
        <v>0.8188696907895122</v>
      </c>
      <c r="AD92" s="45">
        <f t="shared" si="43"/>
        <v>0.8108009060715928</v>
      </c>
      <c r="AE92" s="45">
        <f t="shared" si="44"/>
        <v>0.8028116276384419</v>
      </c>
      <c r="AF92" s="45">
        <f t="shared" si="45"/>
        <v>0.7949010720698122</v>
      </c>
    </row>
    <row r="93" spans="1:32" ht="12.75">
      <c r="A93">
        <v>81</v>
      </c>
      <c r="B93">
        <f t="shared" si="34"/>
        <v>6.75</v>
      </c>
      <c r="C93">
        <f t="shared" si="32"/>
        <v>0.03</v>
      </c>
      <c r="D93">
        <f t="shared" si="32"/>
        <v>-0.002959493690012471</v>
      </c>
      <c r="E93">
        <f t="shared" si="32"/>
        <v>0.004404114146394971</v>
      </c>
      <c r="F93">
        <f t="shared" si="32"/>
        <v>0.007558184287879653</v>
      </c>
      <c r="G93">
        <f t="shared" si="32"/>
        <v>0.027040506309987528</v>
      </c>
      <c r="H93">
        <f t="shared" si="32"/>
        <v>0.028508544358785852</v>
      </c>
      <c r="I93">
        <f t="shared" si="32"/>
        <v>0.029976582407584176</v>
      </c>
      <c r="J93">
        <f t="shared" si="32"/>
        <v>0.0314446204563825</v>
      </c>
      <c r="K93">
        <f t="shared" si="32"/>
        <v>0.032912658505180825</v>
      </c>
      <c r="L93">
        <f t="shared" si="35"/>
        <v>0.03438069655397914</v>
      </c>
      <c r="M93">
        <f t="shared" si="46"/>
        <v>0.029999999999999815</v>
      </c>
      <c r="N93">
        <f t="shared" si="47"/>
        <v>-2.4421003331678675E-05</v>
      </c>
      <c r="O93">
        <f t="shared" si="48"/>
        <v>0.00024571514969048795</v>
      </c>
      <c r="P93">
        <f t="shared" si="49"/>
        <v>0.003515786561679393</v>
      </c>
      <c r="Q93">
        <f t="shared" si="50"/>
        <v>0.02997557899666826</v>
      </c>
      <c r="R93">
        <f t="shared" si="51"/>
        <v>0.030057484046565282</v>
      </c>
      <c r="S93">
        <f t="shared" si="52"/>
        <v>0.030139389096461973</v>
      </c>
      <c r="T93">
        <f t="shared" si="53"/>
        <v>0.030221294146358997</v>
      </c>
      <c r="U93">
        <f t="shared" si="54"/>
        <v>0.030303199196255688</v>
      </c>
      <c r="V93">
        <f t="shared" si="55"/>
        <v>0.030385104246151713</v>
      </c>
      <c r="W93" s="45">
        <f t="shared" si="36"/>
        <v>0.8166864825981108</v>
      </c>
      <c r="X93" s="45">
        <f t="shared" si="37"/>
        <v>1.0201774496473217</v>
      </c>
      <c r="Y93" s="45">
        <f t="shared" si="38"/>
        <v>0.9707097534249598</v>
      </c>
      <c r="Z93" s="45">
        <f t="shared" si="39"/>
        <v>0.9502618089912801</v>
      </c>
      <c r="AA93" s="45">
        <f t="shared" si="40"/>
        <v>0.8331651329783825</v>
      </c>
      <c r="AB93" s="45">
        <f t="shared" si="41"/>
        <v>0.8249498565600816</v>
      </c>
      <c r="AC93" s="45">
        <f t="shared" si="42"/>
        <v>0.8168155854118738</v>
      </c>
      <c r="AD93" s="45">
        <f t="shared" si="43"/>
        <v>0.8087615207957194</v>
      </c>
      <c r="AE93" s="45">
        <f t="shared" si="44"/>
        <v>0.8007868718493928</v>
      </c>
      <c r="AF93" s="45">
        <f t="shared" si="45"/>
        <v>0.7928908555088243</v>
      </c>
    </row>
    <row r="94" spans="1:32" ht="12.75">
      <c r="A94">
        <v>82</v>
      </c>
      <c r="B94">
        <f t="shared" si="34"/>
        <v>6.833333333333333</v>
      </c>
      <c r="C94">
        <f t="shared" si="32"/>
        <v>0.03</v>
      </c>
      <c r="D94">
        <f t="shared" si="32"/>
        <v>-0.0029236763085210378</v>
      </c>
      <c r="E94">
        <f t="shared" si="32"/>
        <v>0.00435319662512219</v>
      </c>
      <c r="F94">
        <f t="shared" si="32"/>
        <v>0.007507647884405012</v>
      </c>
      <c r="G94">
        <f t="shared" si="32"/>
        <v>0.02707632369147896</v>
      </c>
      <c r="H94">
        <f t="shared" si="32"/>
        <v>0.028527389233186356</v>
      </c>
      <c r="I94">
        <f t="shared" si="32"/>
        <v>0.029978454774893755</v>
      </c>
      <c r="J94">
        <f t="shared" si="32"/>
        <v>0.03142952031660115</v>
      </c>
      <c r="K94">
        <f t="shared" si="32"/>
        <v>0.032880585858308546</v>
      </c>
      <c r="L94">
        <f t="shared" si="35"/>
        <v>0.03433165140001594</v>
      </c>
      <c r="M94">
        <f t="shared" si="46"/>
        <v>0.030000000000000134</v>
      </c>
      <c r="N94">
        <f t="shared" si="47"/>
        <v>-2.2468407714942932E-05</v>
      </c>
      <c r="O94">
        <f t="shared" si="48"/>
        <v>0.00022887740202697041</v>
      </c>
      <c r="P94">
        <f t="shared" si="49"/>
        <v>0.0034141992029590573</v>
      </c>
      <c r="Q94">
        <f t="shared" si="50"/>
        <v>0.029977531592285108</v>
      </c>
      <c r="R94">
        <f t="shared" si="51"/>
        <v>0.030053824059627084</v>
      </c>
      <c r="S94">
        <f t="shared" si="52"/>
        <v>0.030130116526969727</v>
      </c>
      <c r="T94">
        <f t="shared" si="53"/>
        <v>0.030206408994311703</v>
      </c>
      <c r="U94">
        <f t="shared" si="54"/>
        <v>0.030282701461654012</v>
      </c>
      <c r="V94">
        <f t="shared" si="55"/>
        <v>0.030358993928996655</v>
      </c>
      <c r="W94" s="45">
        <f t="shared" si="36"/>
        <v>0.8146473164114145</v>
      </c>
      <c r="X94" s="45">
        <f t="shared" si="37"/>
        <v>1.0201793597960167</v>
      </c>
      <c r="Y94" s="45">
        <f t="shared" si="38"/>
        <v>0.9706912391409823</v>
      </c>
      <c r="Z94" s="45">
        <f t="shared" si="39"/>
        <v>0.9499914821900965</v>
      </c>
      <c r="AA94" s="45">
        <f t="shared" si="40"/>
        <v>0.8310863777161399</v>
      </c>
      <c r="AB94" s="45">
        <f t="shared" si="41"/>
        <v>0.8228863668080013</v>
      </c>
      <c r="AC94" s="45">
        <f t="shared" si="42"/>
        <v>0.814767262266152</v>
      </c>
      <c r="AD94" s="45">
        <f t="shared" si="43"/>
        <v>0.8067282658184703</v>
      </c>
      <c r="AE94" s="45">
        <f t="shared" si="44"/>
        <v>0.7987685870690797</v>
      </c>
      <c r="AF94" s="45">
        <f t="shared" si="45"/>
        <v>0.7908874434206369</v>
      </c>
    </row>
    <row r="95" spans="1:32" ht="12.75">
      <c r="A95">
        <v>83</v>
      </c>
      <c r="B95">
        <f t="shared" si="34"/>
        <v>6.916666666666666</v>
      </c>
      <c r="C95">
        <f t="shared" si="32"/>
        <v>0.03</v>
      </c>
      <c r="D95">
        <f t="shared" si="32"/>
        <v>-0.002888700352189745</v>
      </c>
      <c r="E95">
        <f t="shared" si="32"/>
        <v>0.00430331668225322</v>
      </c>
      <c r="F95">
        <f t="shared" si="32"/>
        <v>0.007457134632433813</v>
      </c>
      <c r="G95">
        <f t="shared" si="32"/>
        <v>0.027111299647810255</v>
      </c>
      <c r="H95">
        <f t="shared" si="32"/>
        <v>0.028545738541894662</v>
      </c>
      <c r="I95">
        <f t="shared" si="32"/>
        <v>0.02998017743597907</v>
      </c>
      <c r="J95">
        <f t="shared" si="32"/>
        <v>0.031414616330063476</v>
      </c>
      <c r="K95">
        <f t="shared" si="32"/>
        <v>0.03284905522414788</v>
      </c>
      <c r="L95">
        <f t="shared" si="35"/>
        <v>0.03428349411823229</v>
      </c>
      <c r="M95">
        <f t="shared" si="46"/>
        <v>0.0299999999999998</v>
      </c>
      <c r="N95">
        <f t="shared" si="47"/>
        <v>-2.067193302372768E-05</v>
      </c>
      <c r="O95">
        <f t="shared" si="48"/>
        <v>0.00021316136699764475</v>
      </c>
      <c r="P95">
        <f t="shared" si="49"/>
        <v>0.003315047970795499</v>
      </c>
      <c r="Q95">
        <f t="shared" si="50"/>
        <v>0.029979328066976448</v>
      </c>
      <c r="R95">
        <f t="shared" si="51"/>
        <v>0.030050381855975968</v>
      </c>
      <c r="S95">
        <f t="shared" si="52"/>
        <v>0.030121435644974822</v>
      </c>
      <c r="T95">
        <f t="shared" si="53"/>
        <v>0.030192489433974342</v>
      </c>
      <c r="U95">
        <f t="shared" si="54"/>
        <v>0.03026354322297353</v>
      </c>
      <c r="V95">
        <f t="shared" si="55"/>
        <v>0.03033459701197305</v>
      </c>
      <c r="W95" s="45">
        <f t="shared" si="36"/>
        <v>0.8126132417730977</v>
      </c>
      <c r="X95" s="45">
        <f t="shared" si="37"/>
        <v>1.0201811172208135</v>
      </c>
      <c r="Y95" s="45">
        <f t="shared" si="38"/>
        <v>0.9706739964715051</v>
      </c>
      <c r="Z95" s="45">
        <f t="shared" si="39"/>
        <v>0.9497290794920535</v>
      </c>
      <c r="AA95" s="45">
        <f t="shared" si="40"/>
        <v>0.8290126848605058</v>
      </c>
      <c r="AB95" s="45">
        <f t="shared" si="41"/>
        <v>0.8208282740243915</v>
      </c>
      <c r="AC95" s="45">
        <f t="shared" si="42"/>
        <v>0.8127246636174597</v>
      </c>
      <c r="AD95" s="45">
        <f t="shared" si="43"/>
        <v>0.8047010559391196</v>
      </c>
      <c r="AE95" s="45">
        <f t="shared" si="44"/>
        <v>0.7967566611640639</v>
      </c>
      <c r="AF95" s="45">
        <f t="shared" si="45"/>
        <v>0.7888906972645192</v>
      </c>
    </row>
    <row r="96" spans="1:32" ht="12.75">
      <c r="A96">
        <v>84</v>
      </c>
      <c r="B96">
        <f t="shared" si="34"/>
        <v>7</v>
      </c>
      <c r="C96">
        <f t="shared" si="32"/>
        <v>0.03</v>
      </c>
      <c r="D96">
        <f t="shared" si="32"/>
        <v>-0.0028545374800984158</v>
      </c>
      <c r="E96">
        <f t="shared" si="32"/>
        <v>0.004254449761180988</v>
      </c>
      <c r="F96">
        <f t="shared" si="32"/>
        <v>0.007406672353710571</v>
      </c>
      <c r="G96">
        <f t="shared" si="32"/>
        <v>0.027145462519901582</v>
      </c>
      <c r="H96">
        <f t="shared" si="32"/>
        <v>0.028563612440295243</v>
      </c>
      <c r="I96">
        <f t="shared" si="32"/>
        <v>0.029981762360688908</v>
      </c>
      <c r="J96">
        <f t="shared" si="32"/>
        <v>0.03139991228108257</v>
      </c>
      <c r="K96">
        <f t="shared" si="32"/>
        <v>0.032818062201476234</v>
      </c>
      <c r="L96">
        <f t="shared" si="35"/>
        <v>0.0342362121218699</v>
      </c>
      <c r="M96">
        <f t="shared" si="46"/>
        <v>0.030000000000000148</v>
      </c>
      <c r="N96">
        <f t="shared" si="47"/>
        <v>-1.9019096518107934E-05</v>
      </c>
      <c r="O96">
        <f t="shared" si="48"/>
        <v>0.00019849531218575492</v>
      </c>
      <c r="P96">
        <f t="shared" si="49"/>
        <v>0.0032183032196815057</v>
      </c>
      <c r="Q96">
        <f t="shared" si="50"/>
        <v>0.02998098090348179</v>
      </c>
      <c r="R96">
        <f t="shared" si="51"/>
        <v>0.030047146007543442</v>
      </c>
      <c r="S96">
        <f t="shared" si="52"/>
        <v>0.03011331111160543</v>
      </c>
      <c r="T96">
        <f t="shared" si="53"/>
        <v>0.030179476215667085</v>
      </c>
      <c r="U96">
        <f t="shared" si="54"/>
        <v>0.030245641319729406</v>
      </c>
      <c r="V96">
        <f t="shared" si="55"/>
        <v>0.030311806423791395</v>
      </c>
      <c r="W96" s="45">
        <f t="shared" si="36"/>
        <v>0.8105842459701871</v>
      </c>
      <c r="X96" s="45">
        <f t="shared" si="37"/>
        <v>1.020182734132356</v>
      </c>
      <c r="Y96" s="45">
        <f t="shared" si="38"/>
        <v>0.9706579404178026</v>
      </c>
      <c r="Z96" s="45">
        <f t="shared" si="39"/>
        <v>0.9494744039650117</v>
      </c>
      <c r="AA96" s="45">
        <f t="shared" si="40"/>
        <v>0.8269440522984797</v>
      </c>
      <c r="AB96" s="45">
        <f t="shared" si="41"/>
        <v>0.8187755494519434</v>
      </c>
      <c r="AC96" s="45">
        <f t="shared" si="42"/>
        <v>0.810687734577669</v>
      </c>
      <c r="AD96" s="45">
        <f t="shared" si="43"/>
        <v>0.802679810644794</v>
      </c>
      <c r="AE96" s="45">
        <f t="shared" si="44"/>
        <v>0.7947509884954781</v>
      </c>
      <c r="AF96" s="45">
        <f t="shared" si="45"/>
        <v>0.7869004867671344</v>
      </c>
    </row>
    <row r="97" spans="1:32" ht="12.75">
      <c r="A97">
        <v>85</v>
      </c>
      <c r="B97">
        <f t="shared" si="34"/>
        <v>7.083333333333333</v>
      </c>
      <c r="C97">
        <f t="shared" si="32"/>
        <v>0.03</v>
      </c>
      <c r="D97">
        <f t="shared" si="32"/>
        <v>-0.002821160549903408</v>
      </c>
      <c r="E97">
        <f t="shared" si="32"/>
        <v>0.004206571667578823</v>
      </c>
      <c r="F97">
        <f t="shared" si="32"/>
        <v>0.007356287192683854</v>
      </c>
      <c r="G97">
        <f t="shared" si="32"/>
        <v>0.02717883945009659</v>
      </c>
      <c r="H97">
        <f t="shared" si="32"/>
        <v>0.0285810300059562</v>
      </c>
      <c r="I97">
        <f t="shared" si="32"/>
        <v>0.029983220561815807</v>
      </c>
      <c r="J97">
        <f t="shared" si="32"/>
        <v>0.03138541111767541</v>
      </c>
      <c r="K97">
        <f t="shared" si="32"/>
        <v>0.03278760167353502</v>
      </c>
      <c r="L97">
        <f t="shared" si="35"/>
        <v>0.03418979222939463</v>
      </c>
      <c r="M97">
        <f t="shared" si="46"/>
        <v>0.030000000000000134</v>
      </c>
      <c r="N97">
        <f t="shared" si="47"/>
        <v>-1.7498413522748563E-05</v>
      </c>
      <c r="O97">
        <f t="shared" si="48"/>
        <v>0.00018481180499696557</v>
      </c>
      <c r="P97">
        <f t="shared" si="49"/>
        <v>0.0031239336664396324</v>
      </c>
      <c r="Q97">
        <f t="shared" si="50"/>
        <v>0.029982501586477302</v>
      </c>
      <c r="R97">
        <f t="shared" si="51"/>
        <v>0.030044105521476513</v>
      </c>
      <c r="S97">
        <f t="shared" si="52"/>
        <v>0.03010570945647539</v>
      </c>
      <c r="T97">
        <f t="shared" si="53"/>
        <v>0.030167313391474267</v>
      </c>
      <c r="U97">
        <f t="shared" si="54"/>
        <v>0.030228917326473145</v>
      </c>
      <c r="V97">
        <f t="shared" si="55"/>
        <v>0.030290521261472022</v>
      </c>
      <c r="W97" s="45">
        <f t="shared" si="36"/>
        <v>0.8085603163214524</v>
      </c>
      <c r="X97" s="45">
        <f t="shared" si="37"/>
        <v>1.0201842217650532</v>
      </c>
      <c r="Y97" s="45">
        <f t="shared" si="38"/>
        <v>0.9706429914457504</v>
      </c>
      <c r="Z97" s="45">
        <f t="shared" si="39"/>
        <v>0.9492272615474316</v>
      </c>
      <c r="AA97" s="45">
        <f t="shared" si="40"/>
        <v>0.8248804770565062</v>
      </c>
      <c r="AB97" s="45">
        <f t="shared" si="41"/>
        <v>0.8167281652636902</v>
      </c>
      <c r="AC97" s="45">
        <f t="shared" si="42"/>
        <v>0.8086564229465932</v>
      </c>
      <c r="AD97" s="45">
        <f t="shared" si="43"/>
        <v>0.8006644538353249</v>
      </c>
      <c r="AE97" s="45">
        <f t="shared" si="44"/>
        <v>0.7927514695295476</v>
      </c>
      <c r="AF97" s="45">
        <f t="shared" si="45"/>
        <v>0.7849166894207013</v>
      </c>
    </row>
    <row r="98" spans="1:32" ht="12.75">
      <c r="A98">
        <v>86</v>
      </c>
      <c r="B98">
        <f t="shared" si="34"/>
        <v>7.166666666666666</v>
      </c>
      <c r="C98">
        <f t="shared" si="32"/>
        <v>0.03</v>
      </c>
      <c r="D98">
        <f t="shared" si="32"/>
        <v>-0.002788543558830421</v>
      </c>
      <c r="E98">
        <f t="shared" si="32"/>
        <v>0.0041596585956726545</v>
      </c>
      <c r="F98">
        <f t="shared" si="32"/>
        <v>0.007306003697109186</v>
      </c>
      <c r="G98">
        <f t="shared" si="32"/>
        <v>0.02721145644116958</v>
      </c>
      <c r="H98">
        <f t="shared" si="32"/>
        <v>0.028598009306393796</v>
      </c>
      <c r="I98">
        <f t="shared" si="32"/>
        <v>0.029984562171618014</v>
      </c>
      <c r="J98">
        <f t="shared" si="32"/>
        <v>0.031371115036842236</v>
      </c>
      <c r="K98">
        <f t="shared" si="32"/>
        <v>0.032757667902066454</v>
      </c>
      <c r="L98">
        <f t="shared" si="35"/>
        <v>0.03414422076729067</v>
      </c>
      <c r="M98">
        <f t="shared" si="46"/>
        <v>0.0299999999999998</v>
      </c>
      <c r="N98">
        <f t="shared" si="47"/>
        <v>-1.609931762652789E-05</v>
      </c>
      <c r="O98">
        <f t="shared" si="48"/>
        <v>0.00017204748364832496</v>
      </c>
      <c r="P98">
        <f t="shared" si="49"/>
        <v>0.0030319065732623937</v>
      </c>
      <c r="Q98">
        <f t="shared" si="50"/>
        <v>0.02998390068237344</v>
      </c>
      <c r="R98">
        <f t="shared" si="51"/>
        <v>0.030041249843589354</v>
      </c>
      <c r="S98">
        <f t="shared" si="52"/>
        <v>0.0300985990048056</v>
      </c>
      <c r="T98">
        <f t="shared" si="53"/>
        <v>0.03015594816602218</v>
      </c>
      <c r="U98">
        <f t="shared" si="54"/>
        <v>0.030213297327238094</v>
      </c>
      <c r="V98">
        <f t="shared" si="55"/>
        <v>0.030270646488454008</v>
      </c>
      <c r="W98" s="45">
        <f t="shared" si="36"/>
        <v>0.8065414401773269</v>
      </c>
      <c r="X98" s="45">
        <f t="shared" si="37"/>
        <v>1.0201855904551234</v>
      </c>
      <c r="Y98" s="45">
        <f t="shared" si="38"/>
        <v>0.9706290751551616</v>
      </c>
      <c r="Z98" s="45">
        <f t="shared" si="39"/>
        <v>0.9489874611447409</v>
      </c>
      <c r="AA98" s="45">
        <f t="shared" si="40"/>
        <v>0.8228219553738317</v>
      </c>
      <c r="AB98" s="45">
        <f t="shared" si="41"/>
        <v>0.8146860945228355</v>
      </c>
      <c r="AC98" s="45">
        <f t="shared" si="42"/>
        <v>0.8066306790602423</v>
      </c>
      <c r="AD98" s="45">
        <f t="shared" si="43"/>
        <v>0.798654913561864</v>
      </c>
      <c r="AE98" s="45">
        <f t="shared" si="44"/>
        <v>0.7907580104684704</v>
      </c>
      <c r="AF98" s="45">
        <f t="shared" si="45"/>
        <v>0.782939190008023</v>
      </c>
    </row>
    <row r="99" spans="1:32" ht="12.75">
      <c r="A99">
        <v>87</v>
      </c>
      <c r="B99">
        <f t="shared" si="34"/>
        <v>7.25</v>
      </c>
      <c r="C99">
        <f t="shared" si="32"/>
        <v>0.03</v>
      </c>
      <c r="D99">
        <f t="shared" si="32"/>
        <v>-0.002756661587892848</v>
      </c>
      <c r="E99">
        <f t="shared" si="32"/>
        <v>0.004113687150173995</v>
      </c>
      <c r="F99">
        <f t="shared" si="32"/>
        <v>0.007255844895056738</v>
      </c>
      <c r="G99">
        <f t="shared" si="32"/>
        <v>0.02724333841210715</v>
      </c>
      <c r="H99">
        <f t="shared" si="32"/>
        <v>0.028614567462165147</v>
      </c>
      <c r="I99">
        <f t="shared" si="32"/>
        <v>0.029985796512223148</v>
      </c>
      <c r="J99">
        <f t="shared" si="32"/>
        <v>0.03135702556228114</v>
      </c>
      <c r="K99">
        <f t="shared" si="32"/>
        <v>0.03272825461233914</v>
      </c>
      <c r="L99">
        <f t="shared" si="35"/>
        <v>0.034099483662397144</v>
      </c>
      <c r="M99">
        <f t="shared" si="46"/>
        <v>0.030000000000000148</v>
      </c>
      <c r="N99">
        <f t="shared" si="47"/>
        <v>-1.4812087261603552E-05</v>
      </c>
      <c r="O99">
        <f t="shared" si="48"/>
        <v>0.00016014283728933595</v>
      </c>
      <c r="P99">
        <f t="shared" si="49"/>
        <v>0.0029421879185462588</v>
      </c>
      <c r="Q99">
        <f t="shared" si="50"/>
        <v>0.02998518791273842</v>
      </c>
      <c r="R99">
        <f t="shared" si="51"/>
        <v>0.03003856885850143</v>
      </c>
      <c r="S99">
        <f t="shared" si="52"/>
        <v>0.03009194980426478</v>
      </c>
      <c r="T99">
        <f t="shared" si="53"/>
        <v>0.03014533075002713</v>
      </c>
      <c r="U99">
        <f t="shared" si="54"/>
        <v>0.030198711695790477</v>
      </c>
      <c r="V99">
        <f t="shared" si="55"/>
        <v>0.030252092641553825</v>
      </c>
      <c r="W99" s="45">
        <f t="shared" si="36"/>
        <v>0.8045276049198279</v>
      </c>
      <c r="X99" s="45">
        <f t="shared" si="37"/>
        <v>1.0201868497123996</v>
      </c>
      <c r="Y99" s="45">
        <f t="shared" si="38"/>
        <v>0.9706161219670892</v>
      </c>
      <c r="Z99" s="45">
        <f t="shared" si="39"/>
        <v>0.948754814712717</v>
      </c>
      <c r="AA99" s="45">
        <f t="shared" si="40"/>
        <v>0.8207684827698212</v>
      </c>
      <c r="AB99" s="45">
        <f t="shared" si="41"/>
        <v>0.8126493111430988</v>
      </c>
      <c r="AC99" s="45">
        <f t="shared" si="42"/>
        <v>0.8046104556460623</v>
      </c>
      <c r="AD99" s="45">
        <f t="shared" si="43"/>
        <v>0.7966511217788557</v>
      </c>
      <c r="AE99" s="45">
        <f t="shared" si="44"/>
        <v>0.7887705229009411</v>
      </c>
      <c r="AF99" s="45">
        <f t="shared" si="45"/>
        <v>0.7809678801533536</v>
      </c>
    </row>
    <row r="100" spans="1:32" ht="12.75">
      <c r="A100">
        <v>88</v>
      </c>
      <c r="B100">
        <f t="shared" si="34"/>
        <v>7.333333333333333</v>
      </c>
      <c r="C100">
        <f t="shared" si="32"/>
        <v>0.03</v>
      </c>
      <c r="D100">
        <f t="shared" si="32"/>
        <v>-0.0027254907491458162</v>
      </c>
      <c r="E100">
        <f aca="true" t="shared" si="56" ref="C100:K125">E$6+E$7*((1-EXP(-$B100/E$9))/($B100/E$9))+E$8*((1-EXP(-$B100/E$9))/($B100/E$9)-EXP(-$B100/E$9))</f>
        <v>0.004068634364322703</v>
      </c>
      <c r="F100">
        <f t="shared" si="56"/>
        <v>0.007205832368478808</v>
      </c>
      <c r="G100">
        <f t="shared" si="56"/>
        <v>0.027274509250854184</v>
      </c>
      <c r="H100">
        <f t="shared" si="56"/>
        <v>0.02863072070562842</v>
      </c>
      <c r="I100">
        <f t="shared" si="56"/>
        <v>0.02998693216040265</v>
      </c>
      <c r="J100">
        <f t="shared" si="56"/>
        <v>0.031343143615176886</v>
      </c>
      <c r="K100">
        <f t="shared" si="56"/>
        <v>0.03269935506995112</v>
      </c>
      <c r="L100">
        <f t="shared" si="35"/>
        <v>0.034055566524725356</v>
      </c>
      <c r="M100">
        <f t="shared" si="46"/>
        <v>0.0299999999999998</v>
      </c>
      <c r="N100">
        <f t="shared" si="47"/>
        <v>-1.362777815402954E-05</v>
      </c>
      <c r="O100">
        <f t="shared" si="48"/>
        <v>0.0001490419952602384</v>
      </c>
      <c r="P100">
        <f t="shared" si="49"/>
        <v>0.002854742556198868</v>
      </c>
      <c r="Q100">
        <f t="shared" si="50"/>
        <v>0.029986372221845855</v>
      </c>
      <c r="R100">
        <f t="shared" si="51"/>
        <v>0.030036052886933003</v>
      </c>
      <c r="S100">
        <f t="shared" si="52"/>
        <v>0.030085733552019486</v>
      </c>
      <c r="T100">
        <f t="shared" si="53"/>
        <v>0.030135414217106634</v>
      </c>
      <c r="U100">
        <f t="shared" si="54"/>
        <v>0.030185094882193116</v>
      </c>
      <c r="V100">
        <f t="shared" si="55"/>
        <v>0.03023477554727993</v>
      </c>
      <c r="W100" s="45">
        <f t="shared" si="36"/>
        <v>0.8025187979624785</v>
      </c>
      <c r="X100" s="45">
        <f t="shared" si="37"/>
        <v>1.020188008286396</v>
      </c>
      <c r="Y100" s="45">
        <f t="shared" si="38"/>
        <v>0.970604066828332</v>
      </c>
      <c r="Z100" s="45">
        <f t="shared" si="39"/>
        <v>0.9485291373288195</v>
      </c>
      <c r="AA100" s="45">
        <f t="shared" si="40"/>
        <v>0.8187200541057336</v>
      </c>
      <c r="AB100" s="45">
        <f t="shared" si="41"/>
        <v>0.8106177898497674</v>
      </c>
      <c r="AC100" s="45">
        <f t="shared" si="42"/>
        <v>0.8025957076850353</v>
      </c>
      <c r="AD100" s="45">
        <f t="shared" si="43"/>
        <v>0.7946530141089371</v>
      </c>
      <c r="AE100" s="45">
        <f t="shared" si="44"/>
        <v>0.7867889234715785</v>
      </c>
      <c r="AF100" s="45">
        <f t="shared" si="45"/>
        <v>0.7790026578980584</v>
      </c>
    </row>
    <row r="101" spans="1:32" ht="12.75">
      <c r="A101">
        <v>89</v>
      </c>
      <c r="B101">
        <f t="shared" si="34"/>
        <v>7.416666666666666</v>
      </c>
      <c r="C101">
        <f t="shared" si="56"/>
        <v>0.03</v>
      </c>
      <c r="D101">
        <f t="shared" si="56"/>
        <v>-0.0026950081357978235</v>
      </c>
      <c r="E101">
        <f t="shared" si="56"/>
        <v>0.004024477714447518</v>
      </c>
      <c r="F101">
        <f t="shared" si="56"/>
        <v>0.0071559863234856224</v>
      </c>
      <c r="G101">
        <f t="shared" si="56"/>
        <v>0.027304991864202176</v>
      </c>
      <c r="H101">
        <f t="shared" si="56"/>
        <v>0.028646484435684683</v>
      </c>
      <c r="I101">
        <f t="shared" si="56"/>
        <v>0.02998797700716719</v>
      </c>
      <c r="J101">
        <f t="shared" si="56"/>
        <v>0.031329469578649696</v>
      </c>
      <c r="K101">
        <f t="shared" si="56"/>
        <v>0.032670962150132196</v>
      </c>
      <c r="L101">
        <f t="shared" si="35"/>
        <v>0.03401245472161471</v>
      </c>
      <c r="M101">
        <f t="shared" si="46"/>
        <v>0.030000000000000134</v>
      </c>
      <c r="N101">
        <f t="shared" si="47"/>
        <v>-1.2538161174469086E-05</v>
      </c>
      <c r="O101">
        <f t="shared" si="48"/>
        <v>0.0001386925254312226</v>
      </c>
      <c r="P101">
        <f t="shared" si="49"/>
        <v>0.002769534364085262</v>
      </c>
      <c r="Q101">
        <f t="shared" si="50"/>
        <v>0.0299874618388255</v>
      </c>
      <c r="R101">
        <f t="shared" si="51"/>
        <v>0.030033692680635934</v>
      </c>
      <c r="S101">
        <f t="shared" si="52"/>
        <v>0.03007992352244637</v>
      </c>
      <c r="T101">
        <f t="shared" si="53"/>
        <v>0.030126154364257137</v>
      </c>
      <c r="U101">
        <f t="shared" si="54"/>
        <v>0.030172385206066906</v>
      </c>
      <c r="V101">
        <f t="shared" si="55"/>
        <v>0.030218616047877674</v>
      </c>
      <c r="W101" s="45">
        <f t="shared" si="36"/>
        <v>0.8005150067502288</v>
      </c>
      <c r="X101" s="45">
        <f t="shared" si="37"/>
        <v>1.0201890742270927</v>
      </c>
      <c r="Y101" s="45">
        <f t="shared" si="38"/>
        <v>0.9705928489323903</v>
      </c>
      <c r="Z101" s="45">
        <f t="shared" si="39"/>
        <v>0.9483102472523433</v>
      </c>
      <c r="AA101" s="45">
        <f t="shared" si="40"/>
        <v>0.8166766636414107</v>
      </c>
      <c r="AB101" s="45">
        <f t="shared" si="41"/>
        <v>0.8085915061416021</v>
      </c>
      <c r="AC101" s="45">
        <f t="shared" si="42"/>
        <v>0.8005863922804906</v>
      </c>
      <c r="AD101" s="45">
        <f t="shared" si="43"/>
        <v>0.7926605296203162</v>
      </c>
      <c r="AE101" s="45">
        <f t="shared" si="44"/>
        <v>0.78481313356851</v>
      </c>
      <c r="AF101" s="45">
        <f t="shared" si="45"/>
        <v>0.7770434273000255</v>
      </c>
    </row>
    <row r="102" spans="1:32" ht="12.75">
      <c r="A102">
        <v>90</v>
      </c>
      <c r="B102">
        <f t="shared" si="34"/>
        <v>7.5</v>
      </c>
      <c r="C102">
        <f t="shared" si="56"/>
        <v>0.03</v>
      </c>
      <c r="D102">
        <f t="shared" si="56"/>
        <v>-0.0026651917750129396</v>
      </c>
      <c r="E102">
        <f t="shared" si="56"/>
        <v>0.003981195131414974</v>
      </c>
      <c r="F102">
        <f t="shared" si="56"/>
        <v>0.007106325657471654</v>
      </c>
      <c r="G102">
        <f t="shared" si="56"/>
        <v>0.02733480822498706</v>
      </c>
      <c r="H102">
        <f t="shared" si="56"/>
        <v>0.02866187326879205</v>
      </c>
      <c r="I102">
        <f t="shared" si="56"/>
        <v>0.02998893831259704</v>
      </c>
      <c r="J102">
        <f t="shared" si="56"/>
        <v>0.031316003356402035</v>
      </c>
      <c r="K102">
        <f t="shared" si="56"/>
        <v>0.032643068400207025</v>
      </c>
      <c r="L102">
        <f t="shared" si="35"/>
        <v>0.033970133444012014</v>
      </c>
      <c r="M102">
        <f t="shared" si="46"/>
        <v>0.029999999999999815</v>
      </c>
      <c r="N102">
        <f t="shared" si="47"/>
        <v>-1.1535665158268678E-05</v>
      </c>
      <c r="O102">
        <f t="shared" si="48"/>
        <v>0.00012904524151861793</v>
      </c>
      <c r="P102">
        <f t="shared" si="49"/>
        <v>0.0026865263822284467</v>
      </c>
      <c r="Q102">
        <f t="shared" si="50"/>
        <v>0.029988464334841713</v>
      </c>
      <c r="R102">
        <f t="shared" si="51"/>
        <v>0.03003147941534757</v>
      </c>
      <c r="S102">
        <f t="shared" si="52"/>
        <v>0.030074494495854094</v>
      </c>
      <c r="T102">
        <f t="shared" si="53"/>
        <v>0.030117509576359953</v>
      </c>
      <c r="U102">
        <f t="shared" si="54"/>
        <v>0.030160524656866812</v>
      </c>
      <c r="V102">
        <f t="shared" si="55"/>
        <v>0.03020353973737234</v>
      </c>
      <c r="W102" s="45">
        <f t="shared" si="36"/>
        <v>0.7985162187593771</v>
      </c>
      <c r="X102" s="45">
        <f t="shared" si="37"/>
        <v>1.0201900549408605</v>
      </c>
      <c r="Y102" s="45">
        <f t="shared" si="38"/>
        <v>0.9705824114561276</v>
      </c>
      <c r="Z102" s="45">
        <f t="shared" si="39"/>
        <v>0.9480979659742171</v>
      </c>
      <c r="AA102" s="45">
        <f t="shared" si="40"/>
        <v>0.8146383050872971</v>
      </c>
      <c r="AB102" s="45">
        <f t="shared" si="41"/>
        <v>0.8065704362537238</v>
      </c>
      <c r="AC102" s="45">
        <f t="shared" si="42"/>
        <v>0.7985824685334535</v>
      </c>
      <c r="AD102" s="45">
        <f t="shared" si="43"/>
        <v>0.7906736106161614</v>
      </c>
      <c r="AE102" s="45">
        <f t="shared" si="44"/>
        <v>0.78284307902836</v>
      </c>
      <c r="AF102" s="45">
        <f t="shared" si="45"/>
        <v>0.7750900980557863</v>
      </c>
    </row>
    <row r="103" spans="1:32" ht="12.75">
      <c r="A103">
        <v>91</v>
      </c>
      <c r="B103">
        <f t="shared" si="34"/>
        <v>7.583333333333333</v>
      </c>
      <c r="C103">
        <f t="shared" si="56"/>
        <v>0.03</v>
      </c>
      <c r="D103">
        <f t="shared" si="56"/>
        <v>-0.00263602058324684</v>
      </c>
      <c r="E103">
        <f t="shared" si="56"/>
        <v>0.003938765009303061</v>
      </c>
      <c r="F103">
        <f t="shared" si="56"/>
        <v>0.007056868023228643</v>
      </c>
      <c r="G103">
        <f t="shared" si="56"/>
        <v>0.02736397941675316</v>
      </c>
      <c r="H103">
        <f t="shared" si="56"/>
        <v>0.028676901086520847</v>
      </c>
      <c r="I103">
        <f t="shared" si="56"/>
        <v>0.029989822756288535</v>
      </c>
      <c r="J103">
        <f t="shared" si="56"/>
        <v>0.03130274442605622</v>
      </c>
      <c r="K103">
        <f t="shared" si="56"/>
        <v>0.032615666095823906</v>
      </c>
      <c r="L103">
        <f t="shared" si="35"/>
        <v>0.03392858776559159</v>
      </c>
      <c r="M103">
        <f t="shared" si="46"/>
        <v>0.030000000000000134</v>
      </c>
      <c r="N103">
        <f t="shared" si="47"/>
        <v>-1.061332429787291E-05</v>
      </c>
      <c r="O103">
        <f t="shared" si="48"/>
        <v>0.00012005401923087564</v>
      </c>
      <c r="P103">
        <f t="shared" si="49"/>
        <v>0.0026056809413577222</v>
      </c>
      <c r="Q103">
        <f t="shared" si="50"/>
        <v>0.029989386675702386</v>
      </c>
      <c r="R103">
        <f t="shared" si="51"/>
        <v>0.030029404682112678</v>
      </c>
      <c r="S103">
        <f t="shared" si="52"/>
        <v>0.030069422688522637</v>
      </c>
      <c r="T103">
        <f t="shared" si="53"/>
        <v>0.03010944069493293</v>
      </c>
      <c r="U103">
        <f t="shared" si="54"/>
        <v>0.03014945870134322</v>
      </c>
      <c r="V103">
        <f t="shared" si="55"/>
        <v>0.030189476707753845</v>
      </c>
      <c r="W103" s="45">
        <f t="shared" si="36"/>
        <v>0.796522421497492</v>
      </c>
      <c r="X103" s="45">
        <f t="shared" si="37"/>
        <v>1.0201909572419177</v>
      </c>
      <c r="Y103" s="45">
        <f t="shared" si="38"/>
        <v>0.9705727013114094</v>
      </c>
      <c r="Z103" s="45">
        <f t="shared" si="39"/>
        <v>0.9478921182572141</v>
      </c>
      <c r="AA103" s="45">
        <f t="shared" si="40"/>
        <v>0.8126049716521766</v>
      </c>
      <c r="AB103" s="45">
        <f t="shared" si="41"/>
        <v>0.8045545571215728</v>
      </c>
      <c r="AC103" s="45">
        <f t="shared" si="42"/>
        <v>0.7965838974243448</v>
      </c>
      <c r="AD103" s="45">
        <f t="shared" si="43"/>
        <v>0.7886922024355343</v>
      </c>
      <c r="AE103" s="45">
        <f t="shared" si="44"/>
        <v>0.7808786898578894</v>
      </c>
      <c r="AF103" s="45">
        <f t="shared" si="45"/>
        <v>0.773142585144317</v>
      </c>
    </row>
    <row r="104" spans="1:32" ht="12.75">
      <c r="A104">
        <v>92</v>
      </c>
      <c r="B104">
        <f t="shared" si="34"/>
        <v>7.666666666666666</v>
      </c>
      <c r="C104">
        <f t="shared" si="56"/>
        <v>0.03</v>
      </c>
      <c r="D104">
        <f t="shared" si="56"/>
        <v>-0.0026074743239696014</v>
      </c>
      <c r="E104">
        <f t="shared" si="56"/>
        <v>0.0038971662116048184</v>
      </c>
      <c r="F104">
        <f t="shared" si="56"/>
        <v>0.007007629890175697</v>
      </c>
      <c r="G104">
        <f t="shared" si="56"/>
        <v>0.0273925256760304</v>
      </c>
      <c r="H104">
        <f t="shared" si="56"/>
        <v>0.028691581079898672</v>
      </c>
      <c r="I104">
        <f t="shared" si="56"/>
        <v>0.029990636483766944</v>
      </c>
      <c r="J104">
        <f t="shared" si="56"/>
        <v>0.03128969188763522</v>
      </c>
      <c r="K104">
        <f t="shared" si="56"/>
        <v>0.03258874729150349</v>
      </c>
      <c r="L104">
        <f t="shared" si="35"/>
        <v>0.03388780269537176</v>
      </c>
      <c r="M104">
        <f t="shared" si="46"/>
        <v>0.030000000000000134</v>
      </c>
      <c r="N104">
        <f t="shared" si="47"/>
        <v>-9.764729740874312E-06</v>
      </c>
      <c r="O104">
        <f t="shared" si="48"/>
        <v>0.00011167562106470558</v>
      </c>
      <c r="P104">
        <f t="shared" si="49"/>
        <v>0.0025269597823575443</v>
      </c>
      <c r="Q104">
        <f t="shared" si="50"/>
        <v>0.02999023527025901</v>
      </c>
      <c r="R104">
        <f t="shared" si="51"/>
        <v>0.030027460477280884</v>
      </c>
      <c r="S104">
        <f t="shared" si="52"/>
        <v>0.030064685684302424</v>
      </c>
      <c r="T104">
        <f t="shared" si="53"/>
        <v>0.030101910891323965</v>
      </c>
      <c r="U104">
        <f t="shared" si="54"/>
        <v>0.030139136098345506</v>
      </c>
      <c r="V104">
        <f t="shared" si="55"/>
        <v>0.030176361305367046</v>
      </c>
      <c r="W104" s="45">
        <f t="shared" si="36"/>
        <v>0.794533602503334</v>
      </c>
      <c r="X104" s="45">
        <f t="shared" si="37"/>
        <v>1.0201917873996706</v>
      </c>
      <c r="Y104" s="45">
        <f t="shared" si="38"/>
        <v>0.9705636689110047</v>
      </c>
      <c r="Z104" s="45">
        <f t="shared" si="39"/>
        <v>0.9476925321672984</v>
      </c>
      <c r="AA104" s="45">
        <f t="shared" si="40"/>
        <v>0.8105766560869758</v>
      </c>
      <c r="AB104" s="45">
        <f t="shared" si="41"/>
        <v>0.8025438463460182</v>
      </c>
      <c r="AC104" s="45">
        <f t="shared" si="42"/>
        <v>0.7945906417008278</v>
      </c>
      <c r="AD104" s="45">
        <f t="shared" si="43"/>
        <v>0.7867162532653889</v>
      </c>
      <c r="AE104" s="45">
        <f t="shared" si="44"/>
        <v>0.778919899971541</v>
      </c>
      <c r="AF104" s="45">
        <f t="shared" si="45"/>
        <v>0.771200808491505</v>
      </c>
    </row>
    <row r="105" spans="1:32" ht="12.75">
      <c r="A105">
        <v>93</v>
      </c>
      <c r="B105">
        <f t="shared" si="34"/>
        <v>7.75</v>
      </c>
      <c r="C105">
        <f t="shared" si="56"/>
        <v>0.03</v>
      </c>
      <c r="D105">
        <f t="shared" si="56"/>
        <v>-0.002579533567637224</v>
      </c>
      <c r="E105">
        <f t="shared" si="56"/>
        <v>0.003856378075238565</v>
      </c>
      <c r="F105">
        <f t="shared" si="56"/>
        <v>0.006958626602831333</v>
      </c>
      <c r="G105">
        <f t="shared" si="56"/>
        <v>0.027420466432362775</v>
      </c>
      <c r="H105">
        <f t="shared" si="56"/>
        <v>0.02870592579077563</v>
      </c>
      <c r="I105">
        <f t="shared" si="56"/>
        <v>0.029991385149188487</v>
      </c>
      <c r="J105">
        <f t="shared" si="56"/>
        <v>0.03127684450760134</v>
      </c>
      <c r="K105">
        <f t="shared" si="56"/>
        <v>0.0325623038660142</v>
      </c>
      <c r="L105">
        <f t="shared" si="35"/>
        <v>0.03384776322442705</v>
      </c>
      <c r="M105">
        <f t="shared" si="46"/>
        <v>0.029999999999999815</v>
      </c>
      <c r="N105">
        <f t="shared" si="47"/>
        <v>-8.983985058510993E-06</v>
      </c>
      <c r="O105">
        <f t="shared" si="48"/>
        <v>0.00010386952954331767</v>
      </c>
      <c r="P105">
        <f t="shared" si="49"/>
        <v>0.002450324167149919</v>
      </c>
      <c r="Q105">
        <f t="shared" si="50"/>
        <v>0.029991016014941595</v>
      </c>
      <c r="R105">
        <f t="shared" si="51"/>
        <v>0.030025639191455743</v>
      </c>
      <c r="S105">
        <f t="shared" si="52"/>
        <v>0.03006026236797022</v>
      </c>
      <c r="T105">
        <f t="shared" si="53"/>
        <v>0.030094885544484702</v>
      </c>
      <c r="U105">
        <f t="shared" si="54"/>
        <v>0.03012950872099985</v>
      </c>
      <c r="V105">
        <f t="shared" si="55"/>
        <v>0.030164131897513664</v>
      </c>
      <c r="W105" s="45">
        <f t="shared" si="36"/>
        <v>0.7925497493467781</v>
      </c>
      <c r="X105" s="45">
        <f t="shared" si="37"/>
        <v>1.0201925511822711</v>
      </c>
      <c r="Y105" s="45">
        <f t="shared" si="38"/>
        <v>0.9705552679480564</v>
      </c>
      <c r="Z105" s="45">
        <f t="shared" si="39"/>
        <v>0.9474990390967853</v>
      </c>
      <c r="AA105" s="45">
        <f t="shared" si="40"/>
        <v>0.808553350724959</v>
      </c>
      <c r="AB105" s="45">
        <f t="shared" si="41"/>
        <v>0.8005382821596697</v>
      </c>
      <c r="AC105" s="45">
        <f t="shared" si="42"/>
        <v>0.7926026657715912</v>
      </c>
      <c r="AD105" s="45">
        <f t="shared" si="43"/>
        <v>0.7847457139631615</v>
      </c>
      <c r="AE105" s="45">
        <f t="shared" si="44"/>
        <v>0.776966646944155</v>
      </c>
      <c r="AF105" s="45">
        <f t="shared" si="45"/>
        <v>0.7692646926542905</v>
      </c>
    </row>
    <row r="106" spans="1:32" ht="12.75">
      <c r="A106">
        <v>94</v>
      </c>
      <c r="B106">
        <f t="shared" si="34"/>
        <v>7.833333333333333</v>
      </c>
      <c r="C106">
        <f t="shared" si="56"/>
        <v>0.03</v>
      </c>
      <c r="D106">
        <f t="shared" si="56"/>
        <v>-0.002552179653782298</v>
      </c>
      <c r="E106">
        <f t="shared" si="56"/>
        <v>0.00381638041261545</v>
      </c>
      <c r="F106">
        <f t="shared" si="56"/>
        <v>0.006909872436647052</v>
      </c>
      <c r="G106">
        <f t="shared" si="56"/>
        <v>0.0274478203462177</v>
      </c>
      <c r="H106">
        <f t="shared" si="56"/>
        <v>0.02871994715042285</v>
      </c>
      <c r="I106">
        <f t="shared" si="56"/>
        <v>0.029992073954628003</v>
      </c>
      <c r="J106">
        <f t="shared" si="56"/>
        <v>0.031264200758833155</v>
      </c>
      <c r="K106">
        <f t="shared" si="56"/>
        <v>0.0325363275630383</v>
      </c>
      <c r="L106">
        <f t="shared" si="35"/>
        <v>0.03380845436724345</v>
      </c>
      <c r="M106">
        <f t="shared" si="46"/>
        <v>0.030000000000000134</v>
      </c>
      <c r="N106">
        <f t="shared" si="47"/>
        <v>-8.265665274190288E-06</v>
      </c>
      <c r="O106">
        <f t="shared" si="48"/>
        <v>9.659778866570635E-05</v>
      </c>
      <c r="P106">
        <f t="shared" si="49"/>
        <v>0.0023757349815089006</v>
      </c>
      <c r="Q106">
        <f t="shared" si="50"/>
        <v>0.029991734334725902</v>
      </c>
      <c r="R106">
        <f t="shared" si="51"/>
        <v>0.030023933597614235</v>
      </c>
      <c r="S106">
        <f t="shared" si="52"/>
        <v>0.030056132860503234</v>
      </c>
      <c r="T106">
        <f t="shared" si="53"/>
        <v>0.0300883321233919</v>
      </c>
      <c r="U106">
        <f t="shared" si="54"/>
        <v>0.030120531386279233</v>
      </c>
      <c r="V106">
        <f t="shared" si="55"/>
        <v>0.030152730649168565</v>
      </c>
      <c r="W106" s="45">
        <f t="shared" si="36"/>
        <v>0.7905708496287356</v>
      </c>
      <c r="X106" s="45">
        <f t="shared" si="37"/>
        <v>1.0201932538966918</v>
      </c>
      <c r="Y106" s="45">
        <f t="shared" si="38"/>
        <v>0.9705474551884469</v>
      </c>
      <c r="Z106" s="45">
        <f t="shared" si="39"/>
        <v>0.9473114737799492</v>
      </c>
      <c r="AA106" s="45">
        <f t="shared" si="40"/>
        <v>0.8065350475186119</v>
      </c>
      <c r="AB106" s="45">
        <f t="shared" si="41"/>
        <v>0.7985378433944292</v>
      </c>
      <c r="AC106" s="45">
        <f t="shared" si="42"/>
        <v>0.7906199356058499</v>
      </c>
      <c r="AD106" s="45">
        <f t="shared" si="43"/>
        <v>0.7827805378894819</v>
      </c>
      <c r="AE106" s="45">
        <f t="shared" si="44"/>
        <v>0.7750188717781339</v>
      </c>
      <c r="AF106" s="45">
        <f t="shared" si="45"/>
        <v>0.7673341665235114</v>
      </c>
    </row>
    <row r="107" spans="1:32" ht="12.75">
      <c r="A107">
        <v>95</v>
      </c>
      <c r="B107">
        <f t="shared" si="34"/>
        <v>7.916666666666666</v>
      </c>
      <c r="C107">
        <f t="shared" si="56"/>
        <v>0.03</v>
      </c>
      <c r="D107">
        <f t="shared" si="56"/>
        <v>-0.0025253946551021555</v>
      </c>
      <c r="E107">
        <f t="shared" si="56"/>
        <v>0.003777153511991325</v>
      </c>
      <c r="F107">
        <f t="shared" si="56"/>
        <v>0.0068613806513168705</v>
      </c>
      <c r="G107">
        <f t="shared" si="56"/>
        <v>0.027474605344897842</v>
      </c>
      <c r="H107">
        <f t="shared" si="56"/>
        <v>0.028733656515561617</v>
      </c>
      <c r="I107">
        <f t="shared" si="56"/>
        <v>0.029992707686225393</v>
      </c>
      <c r="J107">
        <f t="shared" si="56"/>
        <v>0.03125175885688917</v>
      </c>
      <c r="K107">
        <f t="shared" si="56"/>
        <v>0.03251081002755294</v>
      </c>
      <c r="L107">
        <f t="shared" si="35"/>
        <v>0.03376986119821672</v>
      </c>
      <c r="M107">
        <f t="shared" si="46"/>
        <v>0.0299999999999998</v>
      </c>
      <c r="N107">
        <f t="shared" si="47"/>
        <v>-7.60477916876559E-06</v>
      </c>
      <c r="O107">
        <f t="shared" si="48"/>
        <v>8.982485332355327E-05</v>
      </c>
      <c r="P107">
        <f t="shared" si="49"/>
        <v>0.0023031528302797726</v>
      </c>
      <c r="Q107">
        <f t="shared" si="50"/>
        <v>0.029992395220831077</v>
      </c>
      <c r="R107">
        <f t="shared" si="51"/>
        <v>0.030022336838605886</v>
      </c>
      <c r="S107">
        <f t="shared" si="52"/>
        <v>0.03005227845638003</v>
      </c>
      <c r="T107">
        <f t="shared" si="53"/>
        <v>0.030082220074154505</v>
      </c>
      <c r="U107">
        <f t="shared" si="54"/>
        <v>0.030112161691929647</v>
      </c>
      <c r="V107">
        <f t="shared" si="55"/>
        <v>0.030142103309704123</v>
      </c>
      <c r="W107" s="45">
        <f t="shared" si="36"/>
        <v>0.7885968909810767</v>
      </c>
      <c r="X107" s="45">
        <f t="shared" si="37"/>
        <v>1.020193900425597</v>
      </c>
      <c r="Y107" s="45">
        <f t="shared" si="38"/>
        <v>0.9705401902754035</v>
      </c>
      <c r="Z107" s="45">
        <f t="shared" si="39"/>
        <v>0.9471296743016738</v>
      </c>
      <c r="AA107" s="45">
        <f t="shared" si="40"/>
        <v>0.8045217380734839</v>
      </c>
      <c r="AB107" s="45">
        <f t="shared" si="41"/>
        <v>0.7965425094503076</v>
      </c>
      <c r="AC107" s="45">
        <f t="shared" si="42"/>
        <v>0.78864241863834</v>
      </c>
      <c r="AD107" s="45">
        <f t="shared" si="43"/>
        <v>0.7808206807505375</v>
      </c>
      <c r="AE107" s="45">
        <f t="shared" si="44"/>
        <v>0.773076518684349</v>
      </c>
      <c r="AF107" s="45">
        <f t="shared" si="45"/>
        <v>0.7654091630445089</v>
      </c>
    </row>
    <row r="108" spans="1:32" ht="12.75">
      <c r="A108">
        <v>96</v>
      </c>
      <c r="B108">
        <f t="shared" si="34"/>
        <v>8</v>
      </c>
      <c r="C108">
        <f t="shared" si="56"/>
        <v>0.03</v>
      </c>
      <c r="D108">
        <f t="shared" si="56"/>
        <v>-0.0024991613434302436</v>
      </c>
      <c r="E108">
        <f t="shared" si="56"/>
        <v>0.00373867813630829</v>
      </c>
      <c r="F108">
        <f t="shared" si="56"/>
        <v>0.006813163541672468</v>
      </c>
      <c r="G108">
        <f t="shared" si="56"/>
        <v>0.027500838656569757</v>
      </c>
      <c r="H108">
        <f t="shared" si="56"/>
        <v>0.028747064702005852</v>
      </c>
      <c r="I108">
        <f t="shared" si="56"/>
        <v>0.02999329074744195</v>
      </c>
      <c r="J108">
        <f t="shared" si="56"/>
        <v>0.031239516792878046</v>
      </c>
      <c r="K108">
        <f t="shared" si="56"/>
        <v>0.032485742838314145</v>
      </c>
      <c r="L108">
        <f t="shared" si="35"/>
        <v>0.03373196888375024</v>
      </c>
      <c r="M108">
        <f t="shared" si="46"/>
        <v>0.030000000000000148</v>
      </c>
      <c r="N108">
        <f t="shared" si="47"/>
        <v>-6.9967345986132245E-06</v>
      </c>
      <c r="O108">
        <f t="shared" si="48"/>
        <v>8.351744641998889E-05</v>
      </c>
      <c r="P108">
        <f t="shared" si="49"/>
        <v>0.002232538125454248</v>
      </c>
      <c r="Q108">
        <f t="shared" si="50"/>
        <v>0.02999300326540145</v>
      </c>
      <c r="R108">
        <f t="shared" si="51"/>
        <v>0.030020842414208004</v>
      </c>
      <c r="S108">
        <f t="shared" si="52"/>
        <v>0.030048681563014885</v>
      </c>
      <c r="T108">
        <f t="shared" si="53"/>
        <v>0.030076520711821438</v>
      </c>
      <c r="U108">
        <f t="shared" si="54"/>
        <v>0.030104359860628323</v>
      </c>
      <c r="V108">
        <f t="shared" si="55"/>
        <v>0.030132199009434542</v>
      </c>
      <c r="W108" s="45">
        <f t="shared" si="36"/>
        <v>0.7866278610665535</v>
      </c>
      <c r="X108" s="45">
        <f t="shared" si="37"/>
        <v>1.0201944952612672</v>
      </c>
      <c r="Y108" s="45">
        <f t="shared" si="38"/>
        <v>0.9705334355457144</v>
      </c>
      <c r="Z108" s="45">
        <f t="shared" si="39"/>
        <v>0.9469534820997051</v>
      </c>
      <c r="AA108" s="45">
        <f t="shared" si="40"/>
        <v>0.8025134136792427</v>
      </c>
      <c r="AB108" s="45">
        <f t="shared" si="41"/>
        <v>0.7945522602655152</v>
      </c>
      <c r="AC108" s="45">
        <f t="shared" si="42"/>
        <v>0.7866700836795847</v>
      </c>
      <c r="AD108" s="45">
        <f t="shared" si="43"/>
        <v>0.7788661004496344</v>
      </c>
      <c r="AE108" s="45">
        <f t="shared" si="44"/>
        <v>0.771139534876103</v>
      </c>
      <c r="AF108" s="45">
        <f t="shared" si="45"/>
        <v>0.7634896189545819</v>
      </c>
    </row>
    <row r="109" spans="1:32" ht="12.75">
      <c r="A109">
        <v>97</v>
      </c>
      <c r="B109">
        <f t="shared" si="34"/>
        <v>8.083333333333332</v>
      </c>
      <c r="C109">
        <f t="shared" si="56"/>
        <v>0.03</v>
      </c>
      <c r="D109">
        <f t="shared" si="56"/>
        <v>-0.0024734631574834186</v>
      </c>
      <c r="E109">
        <f t="shared" si="56"/>
        <v>0.00370093552071157</v>
      </c>
      <c r="F109">
        <f t="shared" si="56"/>
        <v>0.0067652324862688675</v>
      </c>
      <c r="G109">
        <f t="shared" si="56"/>
        <v>0.02752653684251658</v>
      </c>
      <c r="H109">
        <f t="shared" si="56"/>
        <v>0.028760182016087106</v>
      </c>
      <c r="I109">
        <f t="shared" si="56"/>
        <v>0.029993827189657627</v>
      </c>
      <c r="J109">
        <f t="shared" si="56"/>
        <v>0.03122747236322815</v>
      </c>
      <c r="K109">
        <f t="shared" si="56"/>
        <v>0.03246111753679867</v>
      </c>
      <c r="L109">
        <f t="shared" si="35"/>
        <v>0.0336947627103692</v>
      </c>
      <c r="M109">
        <f t="shared" si="46"/>
        <v>0.03000000000000012</v>
      </c>
      <c r="N109">
        <f t="shared" si="47"/>
        <v>-6.437306588197392E-06</v>
      </c>
      <c r="O109">
        <f t="shared" si="48"/>
        <v>7.764442342643561E-05</v>
      </c>
      <c r="P109">
        <f t="shared" si="49"/>
        <v>0.0021638511675231595</v>
      </c>
      <c r="Q109">
        <f t="shared" si="50"/>
        <v>0.029993562693411673</v>
      </c>
      <c r="R109">
        <f t="shared" si="51"/>
        <v>0.03001944416788758</v>
      </c>
      <c r="S109">
        <f t="shared" si="52"/>
        <v>0.03004532564236249</v>
      </c>
      <c r="T109">
        <f t="shared" si="53"/>
        <v>0.0300712071168384</v>
      </c>
      <c r="U109">
        <f t="shared" si="54"/>
        <v>0.030097088591312975</v>
      </c>
      <c r="V109">
        <f t="shared" si="55"/>
        <v>0.030122970065789217</v>
      </c>
      <c r="W109" s="45">
        <f t="shared" si="36"/>
        <v>0.7846637475787225</v>
      </c>
      <c r="X109" s="45">
        <f t="shared" si="37"/>
        <v>1.0201950425368094</v>
      </c>
      <c r="Y109" s="45">
        <f t="shared" si="38"/>
        <v>0.9705271558569454</v>
      </c>
      <c r="Z109" s="45">
        <f t="shared" si="39"/>
        <v>0.9467827419610254</v>
      </c>
      <c r="AA109" s="45">
        <f t="shared" si="40"/>
        <v>0.8005100653381672</v>
      </c>
      <c r="AB109" s="45">
        <f t="shared" si="41"/>
        <v>0.7925670762878293</v>
      </c>
      <c r="AC109" s="45">
        <f t="shared" si="42"/>
        <v>0.7847029008312058</v>
      </c>
      <c r="AD109" s="45">
        <f t="shared" si="43"/>
        <v>0.7769167569475088</v>
      </c>
      <c r="AE109" s="45">
        <f t="shared" si="44"/>
        <v>0.7692078703754817</v>
      </c>
      <c r="AF109" s="45">
        <f t="shared" si="45"/>
        <v>0.7615754745364047</v>
      </c>
    </row>
    <row r="110" spans="1:32" ht="12.75">
      <c r="A110">
        <v>98</v>
      </c>
      <c r="B110">
        <f t="shared" si="34"/>
        <v>8.166666666666666</v>
      </c>
      <c r="C110">
        <f t="shared" si="56"/>
        <v>0.03</v>
      </c>
      <c r="D110">
        <f t="shared" si="56"/>
        <v>-0.002448284172284319</v>
      </c>
      <c r="E110">
        <f t="shared" si="56"/>
        <v>0.00366390736890938</v>
      </c>
      <c r="F110">
        <f t="shared" si="56"/>
        <v>0.006717597993761144</v>
      </c>
      <c r="G110">
        <f t="shared" si="56"/>
        <v>0.027551715827715678</v>
      </c>
      <c r="H110">
        <f t="shared" si="56"/>
        <v>0.028773018284018806</v>
      </c>
      <c r="I110">
        <f t="shared" si="56"/>
        <v>0.029994320740321934</v>
      </c>
      <c r="J110">
        <f t="shared" si="56"/>
        <v>0.031215623196625058</v>
      </c>
      <c r="K110">
        <f t="shared" si="56"/>
        <v>0.03243692565292819</v>
      </c>
      <c r="L110">
        <f aca="true" t="shared" si="57" ref="L110:L132">IF($A110&gt;$L$4,L109,L$6+L$7*((1-EXP(-$B110/L$9))/($B110/L$9))+L$8*((1-EXP(-$B110/L$9))/($B110/L$9)-EXP(-$B110/L$9)))</f>
        <v>0.03365822810923131</v>
      </c>
      <c r="M110">
        <f t="shared" si="46"/>
        <v>0.029999999999999815</v>
      </c>
      <c r="N110">
        <f t="shared" si="47"/>
        <v>-5.922607971636753E-06</v>
      </c>
      <c r="O110">
        <f t="shared" si="48"/>
        <v>7.217664409696293E-05</v>
      </c>
      <c r="P110">
        <f t="shared" si="49"/>
        <v>0.0020970522205119987</v>
      </c>
      <c r="Q110">
        <f t="shared" si="50"/>
        <v>0.029994077392028095</v>
      </c>
      <c r="R110">
        <f t="shared" si="51"/>
        <v>0.03001813627339357</v>
      </c>
      <c r="S110">
        <f t="shared" si="52"/>
        <v>0.030042195154759706</v>
      </c>
      <c r="T110">
        <f t="shared" si="53"/>
        <v>0.030066254036124514</v>
      </c>
      <c r="U110">
        <f t="shared" si="54"/>
        <v>0.030090312917491653</v>
      </c>
      <c r="V110">
        <f t="shared" si="55"/>
        <v>0.030114371798856128</v>
      </c>
      <c r="W110" s="45">
        <f t="shared" si="36"/>
        <v>0.7827045382418681</v>
      </c>
      <c r="X110" s="45">
        <f t="shared" si="37"/>
        <v>1.0201955460548746</v>
      </c>
      <c r="Y110" s="45">
        <f t="shared" si="38"/>
        <v>0.9705213184250744</v>
      </c>
      <c r="Z110" s="45">
        <f t="shared" si="39"/>
        <v>0.9466173020128409</v>
      </c>
      <c r="AA110" s="45">
        <f t="shared" si="40"/>
        <v>0.7985116837912912</v>
      </c>
      <c r="AB110" s="45">
        <f t="shared" si="41"/>
        <v>0.7905869384472279</v>
      </c>
      <c r="AC110" s="45">
        <f t="shared" si="42"/>
        <v>0.7827408414060549</v>
      </c>
      <c r="AD110" s="45">
        <f t="shared" si="43"/>
        <v>0.7749726121309501</v>
      </c>
      <c r="AE110" s="45">
        <f t="shared" si="44"/>
        <v>0.7672814778314468</v>
      </c>
      <c r="AF110" s="45">
        <f t="shared" si="45"/>
        <v>0.7596666733865566</v>
      </c>
    </row>
    <row r="111" spans="1:32" ht="12.75">
      <c r="A111">
        <v>99</v>
      </c>
      <c r="B111">
        <f t="shared" si="34"/>
        <v>8.25</v>
      </c>
      <c r="C111">
        <f t="shared" si="56"/>
        <v>0.03</v>
      </c>
      <c r="D111">
        <f t="shared" si="56"/>
        <v>-0.0024236090701641173</v>
      </c>
      <c r="E111">
        <f t="shared" si="56"/>
        <v>0.003627575848527126</v>
      </c>
      <c r="F111">
        <f t="shared" si="56"/>
        <v>0.006670269747168362</v>
      </c>
      <c r="G111">
        <f t="shared" si="56"/>
        <v>0.02757639092983588</v>
      </c>
      <c r="H111">
        <f t="shared" si="56"/>
        <v>0.028785582879344924</v>
      </c>
      <c r="I111">
        <f t="shared" si="56"/>
        <v>0.029994774828853966</v>
      </c>
      <c r="J111">
        <f t="shared" si="56"/>
        <v>0.031203966778363006</v>
      </c>
      <c r="K111">
        <f t="shared" si="56"/>
        <v>0.03241315872787205</v>
      </c>
      <c r="L111">
        <f t="shared" si="57"/>
        <v>0.03362235067738109</v>
      </c>
      <c r="M111">
        <f t="shared" si="46"/>
        <v>0.030000000000000148</v>
      </c>
      <c r="N111">
        <f t="shared" si="47"/>
        <v>-5.449062384393871E-06</v>
      </c>
      <c r="O111">
        <f t="shared" si="48"/>
        <v>6.708685106625264E-05</v>
      </c>
      <c r="P111">
        <f t="shared" si="49"/>
        <v>0.0020321015810757927</v>
      </c>
      <c r="Q111">
        <f t="shared" si="50"/>
        <v>0.029994550937615837</v>
      </c>
      <c r="R111">
        <f t="shared" si="51"/>
        <v>0.03001691322130463</v>
      </c>
      <c r="S111">
        <f t="shared" si="52"/>
        <v>0.030039275504993086</v>
      </c>
      <c r="T111">
        <f t="shared" si="53"/>
        <v>0.030061637788682212</v>
      </c>
      <c r="U111">
        <f t="shared" si="54"/>
        <v>0.03008400007237034</v>
      </c>
      <c r="V111">
        <f t="shared" si="55"/>
        <v>0.030106362356059797</v>
      </c>
      <c r="W111" s="45">
        <f t="shared" si="36"/>
        <v>0.7807502208109257</v>
      </c>
      <c r="X111" s="45">
        <f t="shared" si="37"/>
        <v>1.0201960093140776</v>
      </c>
      <c r="Y111" s="45">
        <f t="shared" si="38"/>
        <v>0.9705158926719788</v>
      </c>
      <c r="Z111" s="45">
        <f t="shared" si="39"/>
        <v>0.9464570137086377</v>
      </c>
      <c r="AA111" s="45">
        <f t="shared" si="40"/>
        <v>0.7965182595423914</v>
      </c>
      <c r="AB111" s="45">
        <f t="shared" si="41"/>
        <v>0.7886118281297775</v>
      </c>
      <c r="AC111" s="45">
        <f t="shared" si="42"/>
        <v>0.7807838778529486</v>
      </c>
      <c r="AD111" s="45">
        <f t="shared" si="43"/>
        <v>0.773033629689315</v>
      </c>
      <c r="AE111" s="45">
        <f t="shared" si="44"/>
        <v>0.7653603123490521</v>
      </c>
      <c r="AF111" s="45">
        <f t="shared" si="45"/>
        <v>0.7577631621983436</v>
      </c>
    </row>
    <row r="112" spans="1:32" ht="12.75">
      <c r="A112">
        <v>100</v>
      </c>
      <c r="B112">
        <f t="shared" si="34"/>
        <v>8.333333333333332</v>
      </c>
      <c r="C112">
        <f t="shared" si="56"/>
        <v>0.03</v>
      </c>
      <c r="D112">
        <f t="shared" si="56"/>
        <v>-0.0023994231132565937</v>
      </c>
      <c r="E112">
        <f t="shared" si="56"/>
        <v>0.0035919235855923046</v>
      </c>
      <c r="F112">
        <f t="shared" si="56"/>
        <v>0.006623256646116854</v>
      </c>
      <c r="G112">
        <f t="shared" si="56"/>
        <v>0.027600576886743406</v>
      </c>
      <c r="H112">
        <f t="shared" si="56"/>
        <v>0.02879788474860751</v>
      </c>
      <c r="I112">
        <f t="shared" si="56"/>
        <v>0.029995192610471608</v>
      </c>
      <c r="J112">
        <f t="shared" si="56"/>
        <v>0.03119250047233571</v>
      </c>
      <c r="K112">
        <f t="shared" si="56"/>
        <v>0.03238980833419981</v>
      </c>
      <c r="L112">
        <f t="shared" si="57"/>
        <v>0.033587116196063915</v>
      </c>
      <c r="M112">
        <f t="shared" si="46"/>
        <v>0.029999999999999787</v>
      </c>
      <c r="N112">
        <f t="shared" si="47"/>
        <v>-5.013379411736367E-06</v>
      </c>
      <c r="O112">
        <f t="shared" si="48"/>
        <v>6.23495550449169E-05</v>
      </c>
      <c r="P112">
        <f t="shared" si="49"/>
        <v>0.001968959642017432</v>
      </c>
      <c r="Q112">
        <f t="shared" si="50"/>
        <v>0.02999498662058851</v>
      </c>
      <c r="R112">
        <f t="shared" si="51"/>
        <v>0.030015769805603148</v>
      </c>
      <c r="S112">
        <f t="shared" si="52"/>
        <v>0.03003655299061812</v>
      </c>
      <c r="T112">
        <f t="shared" si="53"/>
        <v>0.030057336175633758</v>
      </c>
      <c r="U112">
        <f t="shared" si="54"/>
        <v>0.030078119360648064</v>
      </c>
      <c r="V112">
        <f t="shared" si="55"/>
        <v>0.030098902545663036</v>
      </c>
      <c r="W112" s="45">
        <f t="shared" si="36"/>
        <v>0.7788007830714049</v>
      </c>
      <c r="X112" s="45">
        <f t="shared" si="37"/>
        <v>1.0201964355333057</v>
      </c>
      <c r="Y112" s="45">
        <f t="shared" si="38"/>
        <v>0.9705108500822396</v>
      </c>
      <c r="Z112" s="45">
        <f t="shared" si="39"/>
        <v>0.946301731809736</v>
      </c>
      <c r="AA112" s="45">
        <f t="shared" si="40"/>
        <v>0.7945297828799947</v>
      </c>
      <c r="AB112" s="45">
        <f t="shared" si="41"/>
        <v>0.7866417271527499</v>
      </c>
      <c r="AC112" s="45">
        <f t="shared" si="42"/>
        <v>0.778831983685784</v>
      </c>
      <c r="AD112" s="45">
        <f t="shared" si="43"/>
        <v>0.7710997749985209</v>
      </c>
      <c r="AE112" s="45">
        <f t="shared" si="44"/>
        <v>0.7634443313291766</v>
      </c>
      <c r="AF112" s="45">
        <f t="shared" si="45"/>
        <v>0.7558648905581272</v>
      </c>
    </row>
    <row r="113" spans="1:32" ht="12.75">
      <c r="A113">
        <v>101</v>
      </c>
      <c r="B113">
        <f t="shared" si="34"/>
        <v>8.416666666666666</v>
      </c>
      <c r="C113">
        <f t="shared" si="56"/>
        <v>0.03</v>
      </c>
      <c r="D113">
        <f t="shared" si="56"/>
        <v>-0.0023757121173998566</v>
      </c>
      <c r="E113">
        <f t="shared" si="56"/>
        <v>0.0035569336582729704</v>
      </c>
      <c r="F113">
        <f t="shared" si="56"/>
        <v>0.0065765668471509916</v>
      </c>
      <c r="G113">
        <f t="shared" si="56"/>
        <v>0.027624287882600143</v>
      </c>
      <c r="H113">
        <f t="shared" si="56"/>
        <v>0.028809932435357802</v>
      </c>
      <c r="I113">
        <f t="shared" si="56"/>
        <v>0.029995576988115457</v>
      </c>
      <c r="J113">
        <f t="shared" si="56"/>
        <v>0.031181221540873112</v>
      </c>
      <c r="K113">
        <f t="shared" si="56"/>
        <v>0.03236686609363077</v>
      </c>
      <c r="L113">
        <f t="shared" si="57"/>
        <v>0.033587116196063915</v>
      </c>
      <c r="M113">
        <f t="shared" si="46"/>
        <v>0.029999999999999815</v>
      </c>
      <c r="N113">
        <f t="shared" si="47"/>
        <v>-4.612531726150249E-06</v>
      </c>
      <c r="O113">
        <f t="shared" si="48"/>
        <v>5.7940926339608154E-05</v>
      </c>
      <c r="P113">
        <f t="shared" si="49"/>
        <v>0.0019075869505648243</v>
      </c>
      <c r="Q113">
        <f t="shared" si="50"/>
        <v>0.02999538746827358</v>
      </c>
      <c r="R113">
        <f t="shared" si="51"/>
        <v>0.030014701110387187</v>
      </c>
      <c r="S113">
        <f t="shared" si="52"/>
        <v>0.03003401475250079</v>
      </c>
      <c r="T113">
        <f t="shared" si="53"/>
        <v>0.03005332839461273</v>
      </c>
      <c r="U113">
        <f t="shared" si="54"/>
        <v>0.030072642036727</v>
      </c>
      <c r="V113">
        <f t="shared" si="55"/>
        <v>0.033587116196064346</v>
      </c>
      <c r="W113" s="45">
        <f t="shared" si="36"/>
        <v>0.7768562128393134</v>
      </c>
      <c r="X113" s="45">
        <f t="shared" si="37"/>
        <v>1.0201968276740834</v>
      </c>
      <c r="Y113" s="45">
        <f t="shared" si="38"/>
        <v>0.9705061640687462</v>
      </c>
      <c r="Z113" s="45">
        <f t="shared" si="39"/>
        <v>0.9461513143627429</v>
      </c>
      <c r="AA113" s="45">
        <f t="shared" si="40"/>
        <v>0.79254624389757</v>
      </c>
      <c r="AB113" s="45">
        <f t="shared" si="41"/>
        <v>0.7846766177409454</v>
      </c>
      <c r="AC113" s="45">
        <f t="shared" si="42"/>
        <v>0.7768851334168283</v>
      </c>
      <c r="AD113" s="45">
        <f t="shared" si="43"/>
        <v>0.7691710150121237</v>
      </c>
      <c r="AE113" s="45">
        <f t="shared" si="44"/>
        <v>0.7615334943182029</v>
      </c>
      <c r="AF113" s="45">
        <f t="shared" si="45"/>
        <v>0.753752238357316</v>
      </c>
    </row>
    <row r="114" spans="1:32" ht="12.75">
      <c r="A114">
        <v>102</v>
      </c>
      <c r="B114">
        <f t="shared" si="34"/>
        <v>8.5</v>
      </c>
      <c r="C114">
        <f t="shared" si="56"/>
        <v>0.03</v>
      </c>
      <c r="D114">
        <f t="shared" si="56"/>
        <v>-0.0023524624273670337</v>
      </c>
      <c r="E114">
        <f t="shared" si="56"/>
        <v>0.0035225895899802314</v>
      </c>
      <c r="F114">
        <f t="shared" si="56"/>
        <v>0.00653020780219591</v>
      </c>
      <c r="G114">
        <f t="shared" si="56"/>
        <v>0.027647537572632965</v>
      </c>
      <c r="H114">
        <f t="shared" si="56"/>
        <v>0.028821734102626374</v>
      </c>
      <c r="I114">
        <f t="shared" si="56"/>
        <v>0.029995930632619787</v>
      </c>
      <c r="J114">
        <f t="shared" si="56"/>
        <v>0.031170127162613196</v>
      </c>
      <c r="K114">
        <f t="shared" si="56"/>
        <v>0.032344323692606605</v>
      </c>
      <c r="L114">
        <f t="shared" si="57"/>
        <v>0.033587116196063915</v>
      </c>
      <c r="M114">
        <f t="shared" si="46"/>
        <v>0.03000000000000048</v>
      </c>
      <c r="N114">
        <f t="shared" si="47"/>
        <v>-4.243734051917439E-06</v>
      </c>
      <c r="O114">
        <f t="shared" si="48"/>
        <v>5.38386924135988E-05</v>
      </c>
      <c r="P114">
        <f t="shared" si="49"/>
        <v>0.0018479442617326681</v>
      </c>
      <c r="Q114">
        <f t="shared" si="50"/>
        <v>0.02999575626594798</v>
      </c>
      <c r="R114">
        <f t="shared" si="51"/>
        <v>0.030013702496752403</v>
      </c>
      <c r="S114">
        <f t="shared" si="52"/>
        <v>0.03003164872755649</v>
      </c>
      <c r="T114">
        <f t="shared" si="53"/>
        <v>0.03004959495836191</v>
      </c>
      <c r="U114">
        <f t="shared" si="54"/>
        <v>0.030067541189166</v>
      </c>
      <c r="V114">
        <f t="shared" si="55"/>
        <v>0.03358711619606368</v>
      </c>
      <c r="W114" s="45">
        <f t="shared" si="36"/>
        <v>0.774916497961081</v>
      </c>
      <c r="X114" s="45">
        <f t="shared" si="37"/>
        <v>1.0201971884611485</v>
      </c>
      <c r="Y114" s="45">
        <f t="shared" si="38"/>
        <v>0.9705018098466096</v>
      </c>
      <c r="Z114" s="45">
        <f t="shared" si="39"/>
        <v>0.9460056226732769</v>
      </c>
      <c r="AA114" s="45">
        <f t="shared" si="40"/>
        <v>0.7905676325120542</v>
      </c>
      <c r="AB114" s="45">
        <f t="shared" si="41"/>
        <v>0.7827164825041895</v>
      </c>
      <c r="AC114" s="45">
        <f t="shared" si="42"/>
        <v>0.7749433024939707</v>
      </c>
      <c r="AD114" s="45">
        <f t="shared" si="43"/>
        <v>0.767247318159098</v>
      </c>
      <c r="AE114" s="45">
        <f t="shared" si="44"/>
        <v>0.759627762867088</v>
      </c>
      <c r="AF114" s="45">
        <f t="shared" si="45"/>
        <v>0.7516454910468858</v>
      </c>
    </row>
    <row r="115" spans="1:32" ht="12.75">
      <c r="A115">
        <v>103</v>
      </c>
      <c r="B115">
        <f t="shared" si="34"/>
        <v>8.583333333333332</v>
      </c>
      <c r="C115">
        <f t="shared" si="56"/>
        <v>0.03</v>
      </c>
      <c r="D115">
        <f t="shared" si="56"/>
        <v>-0.0023296608933519336</v>
      </c>
      <c r="E115">
        <f t="shared" si="56"/>
        <v>0.003488875341934041</v>
      </c>
      <c r="F115">
        <f t="shared" si="56"/>
        <v>0.006484186295252958</v>
      </c>
      <c r="G115">
        <f t="shared" si="56"/>
        <v>0.027670339106648064</v>
      </c>
      <c r="H115">
        <f t="shared" si="56"/>
        <v>0.02883329755395941</v>
      </c>
      <c r="I115">
        <f t="shared" si="56"/>
        <v>0.029996256001270757</v>
      </c>
      <c r="J115">
        <f t="shared" si="56"/>
        <v>0.031159214448582107</v>
      </c>
      <c r="K115">
        <f t="shared" si="56"/>
        <v>0.03232217289589345</v>
      </c>
      <c r="L115">
        <f t="shared" si="57"/>
        <v>0.033587116196063915</v>
      </c>
      <c r="M115">
        <f t="shared" si="46"/>
        <v>0.029999999999999787</v>
      </c>
      <c r="N115">
        <f t="shared" si="47"/>
        <v>-3.904423811720903E-06</v>
      </c>
      <c r="O115">
        <f t="shared" si="48"/>
        <v>5.0022041222592285E-05</v>
      </c>
      <c r="P115">
        <f t="shared" si="49"/>
        <v>0.0017899925870718235</v>
      </c>
      <c r="Q115">
        <f t="shared" si="50"/>
        <v>0.02999609557618819</v>
      </c>
      <c r="R115">
        <f t="shared" si="51"/>
        <v>0.030012769589928916</v>
      </c>
      <c r="S115">
        <f t="shared" si="52"/>
        <v>0.03002944360366964</v>
      </c>
      <c r="T115">
        <f t="shared" si="53"/>
        <v>0.0300461176174107</v>
      </c>
      <c r="U115">
        <f t="shared" si="54"/>
        <v>0.030062791631151758</v>
      </c>
      <c r="V115">
        <f t="shared" si="55"/>
        <v>0.03358711619606373</v>
      </c>
      <c r="W115" s="45">
        <f t="shared" si="36"/>
        <v>0.7729816263134833</v>
      </c>
      <c r="X115" s="45">
        <f t="shared" si="37"/>
        <v>1.0201975204013856</v>
      </c>
      <c r="Y115" s="45">
        <f t="shared" si="38"/>
        <v>0.9704977643149133</v>
      </c>
      <c r="Z115" s="45">
        <f t="shared" si="39"/>
        <v>0.9458645212763147</v>
      </c>
      <c r="AA115" s="45">
        <f t="shared" si="40"/>
        <v>0.788593938480846</v>
      </c>
      <c r="AB115" s="45">
        <f t="shared" si="41"/>
        <v>0.7807613044159697</v>
      </c>
      <c r="AC115" s="45">
        <f t="shared" si="42"/>
        <v>0.7730064672417372</v>
      </c>
      <c r="AD115" s="45">
        <f t="shared" si="43"/>
        <v>0.7653286542479534</v>
      </c>
      <c r="AE115" s="45">
        <f t="shared" si="44"/>
        <v>0.757727100399294</v>
      </c>
      <c r="AF115" s="45">
        <f t="shared" si="45"/>
        <v>0.7495446321225913</v>
      </c>
    </row>
    <row r="116" spans="1:32" ht="12.75">
      <c r="A116">
        <v>104</v>
      </c>
      <c r="B116">
        <f t="shared" si="34"/>
        <v>8.666666666666666</v>
      </c>
      <c r="C116">
        <f t="shared" si="56"/>
        <v>0.03</v>
      </c>
      <c r="D116">
        <f t="shared" si="56"/>
        <v>-0.0023072948486400906</v>
      </c>
      <c r="E116">
        <f t="shared" si="56"/>
        <v>0.003455775305281311</v>
      </c>
      <c r="F116">
        <f t="shared" si="56"/>
        <v>0.006438508477405256</v>
      </c>
      <c r="G116">
        <f t="shared" si="56"/>
        <v>0.02769270515135991</v>
      </c>
      <c r="H116">
        <f t="shared" si="56"/>
        <v>0.028844630253120347</v>
      </c>
      <c r="I116">
        <f t="shared" si="56"/>
        <v>0.029996555354880782</v>
      </c>
      <c r="J116">
        <f t="shared" si="56"/>
        <v>0.03114848045664122</v>
      </c>
      <c r="K116">
        <f t="shared" si="56"/>
        <v>0.032300405558401656</v>
      </c>
      <c r="L116">
        <f t="shared" si="57"/>
        <v>0.033587116196063915</v>
      </c>
      <c r="M116">
        <f t="shared" si="46"/>
        <v>0.029999999999999815</v>
      </c>
      <c r="N116">
        <f t="shared" si="47"/>
        <v>-3.5922433202633964E-06</v>
      </c>
      <c r="O116">
        <f t="shared" si="48"/>
        <v>4.647153005014859E-05</v>
      </c>
      <c r="P116">
        <f t="shared" si="49"/>
        <v>0.0017336932390919645</v>
      </c>
      <c r="Q116">
        <f t="shared" si="50"/>
        <v>0.02999640775668001</v>
      </c>
      <c r="R116">
        <f t="shared" si="51"/>
        <v>0.030011898266697045</v>
      </c>
      <c r="S116">
        <f t="shared" si="52"/>
        <v>0.030027388776713747</v>
      </c>
      <c r="T116">
        <f t="shared" si="53"/>
        <v>0.030042879286730446</v>
      </c>
      <c r="U116">
        <f t="shared" si="54"/>
        <v>0.030058369796746483</v>
      </c>
      <c r="V116">
        <f t="shared" si="55"/>
        <v>0.033587116196064346</v>
      </c>
      <c r="W116" s="45">
        <f t="shared" si="36"/>
        <v>0.7710515858035664</v>
      </c>
      <c r="X116" s="45">
        <f t="shared" si="37"/>
        <v>1.0201978258012419</v>
      </c>
      <c r="Y116" s="45">
        <f t="shared" si="38"/>
        <v>0.9704940059458559</v>
      </c>
      <c r="Z116" s="45">
        <f t="shared" si="39"/>
        <v>0.9457278779034868</v>
      </c>
      <c r="AA116" s="45">
        <f t="shared" si="40"/>
        <v>0.7866251514173981</v>
      </c>
      <c r="AB116" s="45">
        <f t="shared" si="41"/>
        <v>0.7788110667931792</v>
      </c>
      <c r="AC116" s="45">
        <f t="shared" si="42"/>
        <v>0.7710746048058726</v>
      </c>
      <c r="AD116" s="45">
        <f t="shared" si="43"/>
        <v>0.763414994376836</v>
      </c>
      <c r="AE116" s="45">
        <f t="shared" si="44"/>
        <v>0.755831472087078</v>
      </c>
      <c r="AF116" s="45">
        <f t="shared" si="45"/>
        <v>0.7474496451263163</v>
      </c>
    </row>
    <row r="117" spans="1:32" ht="12.75">
      <c r="A117">
        <v>105</v>
      </c>
      <c r="B117">
        <f t="shared" si="34"/>
        <v>8.75</v>
      </c>
      <c r="C117">
        <f t="shared" si="56"/>
        <v>0.03</v>
      </c>
      <c r="D117">
        <f t="shared" si="56"/>
        <v>-0.0022853520883997355</v>
      </c>
      <c r="E117">
        <f t="shared" si="56"/>
        <v>0.0034232742928461306</v>
      </c>
      <c r="F117">
        <f t="shared" si="56"/>
        <v>0.006393179900207433</v>
      </c>
      <c r="G117">
        <f t="shared" si="56"/>
        <v>0.027714647911600263</v>
      </c>
      <c r="H117">
        <f t="shared" si="56"/>
        <v>0.028855739342548974</v>
      </c>
      <c r="I117">
        <f t="shared" si="56"/>
        <v>0.029996830773497685</v>
      </c>
      <c r="J117">
        <f t="shared" si="56"/>
        <v>0.031137922204446392</v>
      </c>
      <c r="K117">
        <f t="shared" si="56"/>
        <v>0.03227901363539511</v>
      </c>
      <c r="L117">
        <f t="shared" si="57"/>
        <v>0.033587116196063915</v>
      </c>
      <c r="M117">
        <f t="shared" si="46"/>
        <v>0.03000000000000048</v>
      </c>
      <c r="N117">
        <f t="shared" si="47"/>
        <v>-3.3050234028303194E-06</v>
      </c>
      <c r="O117">
        <f t="shared" si="48"/>
        <v>4.316899958738099E-05</v>
      </c>
      <c r="P117">
        <f t="shared" si="49"/>
        <v>0.0016790078716338744</v>
      </c>
      <c r="Q117">
        <f t="shared" si="50"/>
        <v>0.029996694976597193</v>
      </c>
      <c r="R117">
        <f t="shared" si="51"/>
        <v>0.030011084643125862</v>
      </c>
      <c r="S117">
        <f t="shared" si="52"/>
        <v>0.03002547430965553</v>
      </c>
      <c r="T117">
        <f t="shared" si="53"/>
        <v>0.030039863976183863</v>
      </c>
      <c r="U117">
        <f t="shared" si="54"/>
        <v>0.030054253642714197</v>
      </c>
      <c r="V117">
        <f t="shared" si="55"/>
        <v>0.03358711619606368</v>
      </c>
      <c r="W117" s="45">
        <f t="shared" si="36"/>
        <v>0.7691263643685705</v>
      </c>
      <c r="X117" s="45">
        <f t="shared" si="37"/>
        <v>1.0201981067827548</v>
      </c>
      <c r="Y117" s="45">
        <f t="shared" si="38"/>
        <v>0.9704905146808571</v>
      </c>
      <c r="Z117" s="45">
        <f t="shared" si="39"/>
        <v>0.9455955634476262</v>
      </c>
      <c r="AA117" s="45">
        <f t="shared" si="40"/>
        <v>0.7846612608055188</v>
      </c>
      <c r="AB117" s="45">
        <f t="shared" si="41"/>
        <v>0.7768657532769258</v>
      </c>
      <c r="AC117" s="45">
        <f t="shared" si="42"/>
        <v>0.7691476931013037</v>
      </c>
      <c r="AD117" s="45">
        <f t="shared" si="43"/>
        <v>0.7615063108492782</v>
      </c>
      <c r="AE117" s="45">
        <f t="shared" si="44"/>
        <v>0.7539408447356554</v>
      </c>
      <c r="AF117" s="45">
        <f t="shared" si="45"/>
        <v>0.7453605136459459</v>
      </c>
    </row>
    <row r="118" spans="1:32" ht="12.75">
      <c r="A118">
        <v>106</v>
      </c>
      <c r="B118">
        <f t="shared" si="34"/>
        <v>8.833333333333332</v>
      </c>
      <c r="C118">
        <f t="shared" si="56"/>
        <v>0.03</v>
      </c>
      <c r="D118">
        <f t="shared" si="56"/>
        <v>-0.0022638208495310776</v>
      </c>
      <c r="E118">
        <f t="shared" si="56"/>
        <v>0.0033913575305833913</v>
      </c>
      <c r="F118">
        <f t="shared" si="56"/>
        <v>0.006348205547530395</v>
      </c>
      <c r="G118">
        <f t="shared" si="56"/>
        <v>0.027736179150468922</v>
      </c>
      <c r="H118">
        <f t="shared" si="56"/>
        <v>0.028866631660663385</v>
      </c>
      <c r="I118">
        <f t="shared" si="56"/>
        <v>0.02999708417085785</v>
      </c>
      <c r="J118">
        <f t="shared" si="56"/>
        <v>0.031127536681052313</v>
      </c>
      <c r="K118">
        <f t="shared" si="56"/>
        <v>0.032257989191246776</v>
      </c>
      <c r="L118">
        <f t="shared" si="57"/>
        <v>0.033587116196063915</v>
      </c>
      <c r="M118">
        <f t="shared" si="46"/>
        <v>0.029999999999999787</v>
      </c>
      <c r="N118">
        <f t="shared" si="47"/>
        <v>-3.040768321971353E-06</v>
      </c>
      <c r="O118">
        <f t="shared" si="48"/>
        <v>4.0097492995689335E-05</v>
      </c>
      <c r="P118">
        <f t="shared" si="49"/>
        <v>0.001625898516441344</v>
      </c>
      <c r="Q118">
        <f t="shared" si="50"/>
        <v>0.029996959231677982</v>
      </c>
      <c r="R118">
        <f t="shared" si="51"/>
        <v>0.03001032506267663</v>
      </c>
      <c r="S118">
        <f t="shared" si="52"/>
        <v>0.030023690893675275</v>
      </c>
      <c r="T118">
        <f t="shared" si="53"/>
        <v>0.03003705672467392</v>
      </c>
      <c r="U118">
        <f t="shared" si="54"/>
        <v>0.0300504225556719</v>
      </c>
      <c r="V118">
        <f t="shared" si="55"/>
        <v>0.03358711619606373</v>
      </c>
      <c r="W118" s="45">
        <f t="shared" si="36"/>
        <v>0.7672059499758558</v>
      </c>
      <c r="X118" s="45">
        <f t="shared" si="37"/>
        <v>1.0201983652982947</v>
      </c>
      <c r="Y118" s="45">
        <f t="shared" si="38"/>
        <v>0.9704872718332238</v>
      </c>
      <c r="Z118" s="45">
        <f t="shared" si="39"/>
        <v>0.9454674519248559</v>
      </c>
      <c r="AA118" s="45">
        <f t="shared" si="40"/>
        <v>0.7827022560124932</v>
      </c>
      <c r="AB118" s="45">
        <f t="shared" si="41"/>
        <v>0.7749253478143693</v>
      </c>
      <c r="AC118" s="45">
        <f t="shared" si="42"/>
        <v>0.7672257107632972</v>
      </c>
      <c r="AD118" s="45">
        <f t="shared" si="43"/>
        <v>0.759602577095274</v>
      </c>
      <c r="AE118" s="45">
        <f t="shared" si="44"/>
        <v>0.7520551866747793</v>
      </c>
      <c r="AF118" s="45">
        <f t="shared" si="45"/>
        <v>0.7432772213152371</v>
      </c>
    </row>
    <row r="119" spans="1:32" ht="12.75">
      <c r="A119">
        <v>107</v>
      </c>
      <c r="B119">
        <f t="shared" si="34"/>
        <v>8.916666666666666</v>
      </c>
      <c r="C119">
        <f t="shared" si="56"/>
        <v>0.03</v>
      </c>
      <c r="D119">
        <f t="shared" si="56"/>
        <v>-0.002242689791515935</v>
      </c>
      <c r="E119">
        <f t="shared" si="56"/>
        <v>0.003360010648799529</v>
      </c>
      <c r="F119">
        <f t="shared" si="56"/>
        <v>0.006303589865929032</v>
      </c>
      <c r="G119">
        <f t="shared" si="56"/>
        <v>0.027757310208484064</v>
      </c>
      <c r="H119">
        <f t="shared" si="56"/>
        <v>0.028877313758083906</v>
      </c>
      <c r="I119">
        <f t="shared" si="56"/>
        <v>0.02999731730768375</v>
      </c>
      <c r="J119">
        <f t="shared" si="56"/>
        <v>0.03111732085728359</v>
      </c>
      <c r="K119">
        <f t="shared" si="56"/>
        <v>0.032237324406883434</v>
      </c>
      <c r="L119">
        <f t="shared" si="57"/>
        <v>0.033587116196063915</v>
      </c>
      <c r="M119">
        <f t="shared" si="46"/>
        <v>0.029999999999999815</v>
      </c>
      <c r="N119">
        <f t="shared" si="47"/>
        <v>-2.7976419108010987E-06</v>
      </c>
      <c r="O119">
        <f t="shared" si="48"/>
        <v>3.724117971017045E-05</v>
      </c>
      <c r="P119">
        <f t="shared" si="49"/>
        <v>0.0015743276161846063</v>
      </c>
      <c r="Q119">
        <f t="shared" si="50"/>
        <v>0.029997202358089014</v>
      </c>
      <c r="R119">
        <f t="shared" si="51"/>
        <v>0.03000961608465903</v>
      </c>
      <c r="S119">
        <f t="shared" si="52"/>
        <v>0.030022029811229044</v>
      </c>
      <c r="T119">
        <f t="shared" si="53"/>
        <v>0.030034443537799722</v>
      </c>
      <c r="U119">
        <f t="shared" si="54"/>
        <v>0.03004685726436907</v>
      </c>
      <c r="V119">
        <f t="shared" si="55"/>
        <v>0.033587116196064346</v>
      </c>
      <c r="W119" s="45">
        <f t="shared" si="36"/>
        <v>0.7652903306228257</v>
      </c>
      <c r="X119" s="45">
        <f t="shared" si="37"/>
        <v>1.020198603144131</v>
      </c>
      <c r="Y119" s="45">
        <f t="shared" si="38"/>
        <v>0.9704842599969893</v>
      </c>
      <c r="Z119" s="45">
        <f t="shared" si="39"/>
        <v>0.945343420434478</v>
      </c>
      <c r="AA119" s="45">
        <f t="shared" si="40"/>
        <v>0.7807481263011169</v>
      </c>
      <c r="AB119" s="45">
        <f t="shared" si="41"/>
        <v>0.7729898346415488</v>
      </c>
      <c r="AC119" s="45">
        <f t="shared" si="42"/>
        <v>0.7653086371016427</v>
      </c>
      <c r="AD119" s="45">
        <f t="shared" si="43"/>
        <v>0.7577037675973753</v>
      </c>
      <c r="AE119" s="45">
        <f t="shared" si="44"/>
        <v>0.7501744676572986</v>
      </c>
      <c r="AF119" s="45">
        <f t="shared" si="45"/>
        <v>0.7411997518136904</v>
      </c>
    </row>
    <row r="120" spans="1:32" ht="12.75">
      <c r="A120">
        <v>108</v>
      </c>
      <c r="B120">
        <f t="shared" si="34"/>
        <v>9</v>
      </c>
      <c r="C120">
        <f t="shared" si="56"/>
        <v>0.03</v>
      </c>
      <c r="D120">
        <f t="shared" si="56"/>
        <v>-0.002221947978213141</v>
      </c>
      <c r="E120">
        <f t="shared" si="56"/>
        <v>0.0033292196731971105</v>
      </c>
      <c r="F120">
        <f t="shared" si="56"/>
        <v>0.006259336793597783</v>
      </c>
      <c r="G120">
        <f t="shared" si="56"/>
        <v>0.027778052021786858</v>
      </c>
      <c r="H120">
        <f t="shared" si="56"/>
        <v>0.02888779191285256</v>
      </c>
      <c r="I120">
        <f t="shared" si="56"/>
        <v>0.029997531803918266</v>
      </c>
      <c r="J120">
        <f t="shared" si="56"/>
        <v>0.03110727169498397</v>
      </c>
      <c r="K120">
        <f t="shared" si="56"/>
        <v>0.03221701158604967</v>
      </c>
      <c r="L120">
        <f t="shared" si="57"/>
        <v>0.033587116196063915</v>
      </c>
      <c r="M120">
        <f t="shared" si="46"/>
        <v>0.03000000000000048</v>
      </c>
      <c r="N120">
        <f t="shared" si="47"/>
        <v>-2.5739548142056186E-06</v>
      </c>
      <c r="O120">
        <f t="shared" si="48"/>
        <v>3.4585283738355655E-05</v>
      </c>
      <c r="P120">
        <f t="shared" si="49"/>
        <v>0.001524258054154143</v>
      </c>
      <c r="Q120">
        <f t="shared" si="50"/>
        <v>0.029997426045186192</v>
      </c>
      <c r="R120">
        <f t="shared" si="51"/>
        <v>0.030008954473098825</v>
      </c>
      <c r="S120">
        <f t="shared" si="52"/>
        <v>0.03002048290101179</v>
      </c>
      <c r="T120">
        <f t="shared" si="53"/>
        <v>0.030032011328924087</v>
      </c>
      <c r="U120">
        <f t="shared" si="54"/>
        <v>0.030043539756837052</v>
      </c>
      <c r="V120">
        <f t="shared" si="55"/>
        <v>0.03358711619606368</v>
      </c>
      <c r="W120" s="45">
        <f t="shared" si="36"/>
        <v>0.7633794943368531</v>
      </c>
      <c r="X120" s="45">
        <f t="shared" si="37"/>
        <v>1.0201988219729132</v>
      </c>
      <c r="Y120" s="45">
        <f t="shared" si="38"/>
        <v>0.9704814629615619</v>
      </c>
      <c r="Z120" s="45">
        <f t="shared" si="39"/>
        <v>0.9452233491169143</v>
      </c>
      <c r="AA120" s="45">
        <f t="shared" si="40"/>
        <v>0.7787988608407359</v>
      </c>
      <c r="AB120" s="45">
        <f t="shared" si="41"/>
        <v>0.771059198267156</v>
      </c>
      <c r="AC120" s="45">
        <f t="shared" si="42"/>
        <v>0.763396452057691</v>
      </c>
      <c r="AD120" s="45">
        <f t="shared" si="43"/>
        <v>0.7558098578215152</v>
      </c>
      <c r="AE120" s="45">
        <f t="shared" si="44"/>
        <v>0.7482986587642786</v>
      </c>
      <c r="AF120" s="45">
        <f t="shared" si="45"/>
        <v>0.7391280888664226</v>
      </c>
    </row>
    <row r="121" spans="1:32" ht="12.75">
      <c r="A121">
        <v>109</v>
      </c>
      <c r="B121">
        <f t="shared" si="34"/>
        <v>9.083333333333332</v>
      </c>
      <c r="C121">
        <f t="shared" si="56"/>
        <v>0.03</v>
      </c>
      <c r="D121">
        <f t="shared" si="56"/>
        <v>-0.0022015848605483443</v>
      </c>
      <c r="E121">
        <f t="shared" si="56"/>
        <v>0.003298971015793703</v>
      </c>
      <c r="F121">
        <f t="shared" si="56"/>
        <v>0.006215449787976236</v>
      </c>
      <c r="G121">
        <f t="shared" si="56"/>
        <v>0.027798415139451655</v>
      </c>
      <c r="H121">
        <f t="shared" si="56"/>
        <v>0.028898072144716222</v>
      </c>
      <c r="I121">
        <f t="shared" si="56"/>
        <v>0.02999772914998079</v>
      </c>
      <c r="J121">
        <f t="shared" si="56"/>
        <v>0.03109738615524536</v>
      </c>
      <c r="K121">
        <f t="shared" si="56"/>
        <v>0.032197043160509926</v>
      </c>
      <c r="L121">
        <f t="shared" si="57"/>
        <v>0.033587116196063915</v>
      </c>
      <c r="M121">
        <f t="shared" si="46"/>
        <v>0.029999999999999787</v>
      </c>
      <c r="N121">
        <f t="shared" si="47"/>
        <v>-2.368152750273389E-06</v>
      </c>
      <c r="O121">
        <f t="shared" si="48"/>
        <v>3.211601622564498E-05</v>
      </c>
      <c r="P121">
        <f t="shared" si="49"/>
        <v>0.0014756531808491002</v>
      </c>
      <c r="Q121">
        <f t="shared" si="50"/>
        <v>0.029997631847249222</v>
      </c>
      <c r="R121">
        <f t="shared" si="51"/>
        <v>0.030008337185991368</v>
      </c>
      <c r="S121">
        <f t="shared" si="52"/>
        <v>0.030019042524732847</v>
      </c>
      <c r="T121">
        <f t="shared" si="53"/>
        <v>0.030029747863475658</v>
      </c>
      <c r="U121">
        <f t="shared" si="54"/>
        <v>0.030040453202217803</v>
      </c>
      <c r="V121">
        <f t="shared" si="55"/>
        <v>0.03358711619606373</v>
      </c>
      <c r="W121" s="45">
        <f t="shared" si="36"/>
        <v>0.7614734291752053</v>
      </c>
      <c r="X121" s="45">
        <f t="shared" si="37"/>
        <v>1.0201990233051537</v>
      </c>
      <c r="Y121" s="45">
        <f t="shared" si="38"/>
        <v>0.9704788656318367</v>
      </c>
      <c r="Z121" s="45">
        <f t="shared" si="39"/>
        <v>0.9451071211099256</v>
      </c>
      <c r="AA121" s="45">
        <f t="shared" si="40"/>
        <v>0.7768544487173706</v>
      </c>
      <c r="AB121" s="45">
        <f t="shared" si="41"/>
        <v>0.7691334234572177</v>
      </c>
      <c r="AC121" s="45">
        <f t="shared" si="42"/>
        <v>0.7614891361640886</v>
      </c>
      <c r="AD121" s="45">
        <f t="shared" si="43"/>
        <v>0.7539208241522796</v>
      </c>
      <c r="AE121" s="45">
        <f t="shared" si="44"/>
        <v>0.7464277323162917</v>
      </c>
      <c r="AF121" s="45">
        <f t="shared" si="45"/>
        <v>0.7370622162440389</v>
      </c>
    </row>
    <row r="122" spans="1:32" ht="12.75">
      <c r="A122">
        <v>110</v>
      </c>
      <c r="B122">
        <f t="shared" si="34"/>
        <v>9.166666666666666</v>
      </c>
      <c r="C122">
        <f t="shared" si="56"/>
        <v>0.03</v>
      </c>
      <c r="D122">
        <f t="shared" si="56"/>
        <v>-0.002181590260049822</v>
      </c>
      <c r="E122">
        <f t="shared" si="56"/>
        <v>0.0032692514657597814</v>
      </c>
      <c r="F122">
        <f t="shared" si="56"/>
        <v>0.006171931852064289</v>
      </c>
      <c r="G122">
        <f t="shared" si="56"/>
        <v>0.027818409739950176</v>
      </c>
      <c r="H122">
        <f t="shared" si="56"/>
        <v>0.02890816022853677</v>
      </c>
      <c r="I122">
        <f t="shared" si="56"/>
        <v>0.029997910717123363</v>
      </c>
      <c r="J122">
        <f t="shared" si="56"/>
        <v>0.03108766120570996</v>
      </c>
      <c r="K122">
        <f t="shared" si="56"/>
        <v>0.032177411694296554</v>
      </c>
      <c r="L122">
        <f t="shared" si="57"/>
        <v>0.033587116196063915</v>
      </c>
      <c r="M122">
        <f t="shared" si="46"/>
        <v>0.029999999999999815</v>
      </c>
      <c r="N122">
        <f t="shared" si="47"/>
        <v>-2.1788057109339686E-06</v>
      </c>
      <c r="O122">
        <f t="shared" si="48"/>
        <v>2.9820512062350488E-05</v>
      </c>
      <c r="P122">
        <f t="shared" si="49"/>
        <v>0.001428476837662108</v>
      </c>
      <c r="Q122">
        <f t="shared" si="50"/>
        <v>0.029997821194289297</v>
      </c>
      <c r="R122">
        <f t="shared" si="51"/>
        <v>0.03000776136497719</v>
      </c>
      <c r="S122">
        <f t="shared" si="52"/>
        <v>0.03001770153566442</v>
      </c>
      <c r="T122">
        <f t="shared" si="53"/>
        <v>0.030027641706350982</v>
      </c>
      <c r="U122">
        <f t="shared" si="54"/>
        <v>0.030037581877038873</v>
      </c>
      <c r="V122">
        <f t="shared" si="55"/>
        <v>0.033587116196064346</v>
      </c>
      <c r="W122" s="45">
        <f t="shared" si="36"/>
        <v>0.7595721232249685</v>
      </c>
      <c r="X122" s="45">
        <f t="shared" si="37"/>
        <v>1.020199208539792</v>
      </c>
      <c r="Y122" s="45">
        <f t="shared" si="38"/>
        <v>0.9704764539534401</v>
      </c>
      <c r="Z122" s="45">
        <f t="shared" si="39"/>
        <v>0.944994622503326</v>
      </c>
      <c r="AA122" s="45">
        <f t="shared" si="40"/>
        <v>0.7749148789430023</v>
      </c>
      <c r="AB122" s="45">
        <f t="shared" si="41"/>
        <v>0.7672124952206463</v>
      </c>
      <c r="AC122" s="45">
        <f t="shared" si="42"/>
        <v>0.7595866705070518</v>
      </c>
      <c r="AD122" s="45">
        <f t="shared" si="43"/>
        <v>0.752036643832364</v>
      </c>
      <c r="AE122" s="45">
        <f t="shared" si="44"/>
        <v>0.7445616617905033</v>
      </c>
      <c r="AF122" s="45">
        <f t="shared" si="45"/>
        <v>0.7350021177625061</v>
      </c>
    </row>
    <row r="123" spans="1:32" ht="12.75">
      <c r="A123">
        <v>111</v>
      </c>
      <c r="B123">
        <f t="shared" si="34"/>
        <v>9.25</v>
      </c>
      <c r="C123">
        <f t="shared" si="56"/>
        <v>0.03</v>
      </c>
      <c r="D123">
        <f t="shared" si="56"/>
        <v>-0.002161954353184732</v>
      </c>
      <c r="E123">
        <f t="shared" si="56"/>
        <v>0.003240048180215256</v>
      </c>
      <c r="F123">
        <f t="shared" si="56"/>
        <v>0.006128785559503798</v>
      </c>
      <c r="G123">
        <f t="shared" si="56"/>
        <v>0.027838045646815267</v>
      </c>
      <c r="H123">
        <f t="shared" si="56"/>
        <v>0.02891806170688702</v>
      </c>
      <c r="I123">
        <f t="shared" si="56"/>
        <v>0.029998077766958772</v>
      </c>
      <c r="J123">
        <f t="shared" si="56"/>
        <v>0.03107809382703052</v>
      </c>
      <c r="K123">
        <f t="shared" si="56"/>
        <v>0.03215810988710228</v>
      </c>
      <c r="L123">
        <f t="shared" si="57"/>
        <v>0.033587116196063915</v>
      </c>
      <c r="M123">
        <f t="shared" si="46"/>
        <v>0.029999999999999815</v>
      </c>
      <c r="N123">
        <f t="shared" si="47"/>
        <v>-2.004598024823986E-06</v>
      </c>
      <c r="O123">
        <f t="shared" si="48"/>
        <v>2.7686770317475266E-05</v>
      </c>
      <c r="P123">
        <f t="shared" si="49"/>
        <v>0.0013826933778497876</v>
      </c>
      <c r="Q123">
        <f t="shared" si="50"/>
        <v>0.029997995401974908</v>
      </c>
      <c r="R123">
        <f t="shared" si="51"/>
        <v>0.030007224325413705</v>
      </c>
      <c r="S123">
        <f t="shared" si="52"/>
        <v>0.03001645324885317</v>
      </c>
      <c r="T123">
        <f t="shared" si="53"/>
        <v>0.030025682172292633</v>
      </c>
      <c r="U123">
        <f t="shared" si="54"/>
        <v>0.030034911095731427</v>
      </c>
      <c r="V123">
        <f t="shared" si="55"/>
        <v>0.03358711619606368</v>
      </c>
      <c r="W123" s="45">
        <f t="shared" si="36"/>
        <v>0.7576755646029745</v>
      </c>
      <c r="X123" s="45">
        <f t="shared" si="37"/>
        <v>1.020199378963916</v>
      </c>
      <c r="Y123" s="45">
        <f t="shared" si="38"/>
        <v>0.9704742148427998</v>
      </c>
      <c r="Z123" s="45">
        <f t="shared" si="39"/>
        <v>0.944885742292391</v>
      </c>
      <c r="AA123" s="45">
        <f t="shared" si="40"/>
        <v>0.772980140464089</v>
      </c>
      <c r="AB123" s="45">
        <f t="shared" si="41"/>
        <v>0.7652963987956172</v>
      </c>
      <c r="AC123" s="45">
        <f t="shared" si="42"/>
        <v>0.7576890366910398</v>
      </c>
      <c r="AD123" s="45">
        <f t="shared" si="43"/>
        <v>0.7501572949059638</v>
      </c>
      <c r="AE123" s="45">
        <f t="shared" si="44"/>
        <v>0.7427004217431987</v>
      </c>
      <c r="AF123" s="45">
        <f t="shared" si="45"/>
        <v>0.7329477772830254</v>
      </c>
    </row>
    <row r="124" spans="1:32" ht="12.75">
      <c r="A124">
        <v>112</v>
      </c>
      <c r="B124">
        <f t="shared" si="34"/>
        <v>9.333333333333332</v>
      </c>
      <c r="C124">
        <f t="shared" si="56"/>
        <v>0.03</v>
      </c>
      <c r="D124">
        <f t="shared" si="56"/>
        <v>-0.002142667656452872</v>
      </c>
      <c r="E124">
        <f t="shared" si="56"/>
        <v>0.003211348675019512</v>
      </c>
      <c r="F124">
        <f t="shared" si="56"/>
        <v>0.006086013078481246</v>
      </c>
      <c r="G124">
        <f t="shared" si="56"/>
        <v>0.027857332343547127</v>
      </c>
      <c r="H124">
        <f t="shared" si="56"/>
        <v>0.028927781901886964</v>
      </c>
      <c r="I124">
        <f t="shared" si="56"/>
        <v>0.0299982314602268</v>
      </c>
      <c r="J124">
        <f t="shared" si="56"/>
        <v>0.03106868101856664</v>
      </c>
      <c r="K124">
        <f t="shared" si="56"/>
        <v>0.032139130576906476</v>
      </c>
      <c r="L124">
        <f t="shared" si="57"/>
        <v>0.033587116196063915</v>
      </c>
      <c r="M124">
        <f t="shared" si="46"/>
        <v>0.030000000000000453</v>
      </c>
      <c r="N124">
        <f t="shared" si="47"/>
        <v>-1.844319216390304E-06</v>
      </c>
      <c r="O124">
        <f t="shared" si="48"/>
        <v>2.570359829187666E-05</v>
      </c>
      <c r="P124">
        <f t="shared" si="49"/>
        <v>0.0013382676849779587</v>
      </c>
      <c r="Q124">
        <f t="shared" si="50"/>
        <v>0.02999815568078377</v>
      </c>
      <c r="R124">
        <f t="shared" si="51"/>
        <v>0.030006723546881036</v>
      </c>
      <c r="S124">
        <f t="shared" si="52"/>
        <v>0.0300152914129783</v>
      </c>
      <c r="T124">
        <f t="shared" si="53"/>
        <v>0.030023859279075565</v>
      </c>
      <c r="U124">
        <f t="shared" si="54"/>
        <v>0.03003242714517283</v>
      </c>
      <c r="V124">
        <f t="shared" si="55"/>
        <v>0.03358711619606373</v>
      </c>
      <c r="W124" s="45">
        <f t="shared" si="36"/>
        <v>0.7557837414557255</v>
      </c>
      <c r="X124" s="45">
        <f t="shared" si="37"/>
        <v>1.0201995357617049</v>
      </c>
      <c r="Y124" s="45">
        <f t="shared" si="38"/>
        <v>0.9704721361217452</v>
      </c>
      <c r="Z124" s="45">
        <f t="shared" si="39"/>
        <v>0.944780372330142</v>
      </c>
      <c r="AA124" s="45">
        <f t="shared" si="40"/>
        <v>0.7710502221693755</v>
      </c>
      <c r="AB124" s="45">
        <f t="shared" si="41"/>
        <v>0.7633851196367368</v>
      </c>
      <c r="AC124" s="45">
        <f t="shared" si="42"/>
        <v>0.7557962168056824</v>
      </c>
      <c r="AD124" s="45">
        <f t="shared" si="43"/>
        <v>0.74828275616586</v>
      </c>
      <c r="AE124" s="45">
        <f t="shared" si="44"/>
        <v>0.740843987737418</v>
      </c>
      <c r="AF124" s="45">
        <f t="shared" si="45"/>
        <v>0.730899178711906</v>
      </c>
    </row>
    <row r="125" spans="1:32" ht="12.75">
      <c r="A125">
        <v>113</v>
      </c>
      <c r="B125">
        <f t="shared" si="34"/>
        <v>9.416666666666666</v>
      </c>
      <c r="C125">
        <f t="shared" si="56"/>
        <v>0.03</v>
      </c>
      <c r="D125">
        <f t="shared" si="56"/>
        <v>-0.0021237210121974816</v>
      </c>
      <c r="E125">
        <f t="shared" si="56"/>
        <v>0.0031831408155856516</v>
      </c>
      <c r="F125">
        <f t="shared" si="56"/>
        <v>0.006043616194503587</v>
      </c>
      <c r="G125">
        <f t="shared" si="56"/>
        <v>0.027876278987802518</v>
      </c>
      <c r="H125">
        <f t="shared" si="56"/>
        <v>0.028937325926331067</v>
      </c>
      <c r="I125">
        <f t="shared" si="56"/>
        <v>0.02999837286485962</v>
      </c>
      <c r="J125">
        <f aca="true" t="shared" si="58" ref="G125:K132">J$6+J$7*((1-EXP(-$B125/J$9))/($B125/J$9))+J$8*((1-EXP(-$B125/J$9))/($B125/J$9)-EXP(-$B125/J$9))</f>
        <v>0.03105941980338817</v>
      </c>
      <c r="K125">
        <f t="shared" si="58"/>
        <v>0.03212046674191672</v>
      </c>
      <c r="L125">
        <f t="shared" si="57"/>
        <v>0.033587116196063915</v>
      </c>
      <c r="M125">
        <f t="shared" si="46"/>
        <v>0.029999999999999815</v>
      </c>
      <c r="N125">
        <f t="shared" si="47"/>
        <v>-1.6968555937857278E-06</v>
      </c>
      <c r="O125">
        <f t="shared" si="48"/>
        <v>2.386055899332423E-05</v>
      </c>
      <c r="P125">
        <f t="shared" si="49"/>
        <v>0.001295165189005789</v>
      </c>
      <c r="Q125">
        <f t="shared" si="50"/>
        <v>0.029998303144406446</v>
      </c>
      <c r="R125">
        <f t="shared" si="51"/>
        <v>0.03000625666407065</v>
      </c>
      <c r="S125">
        <f t="shared" si="52"/>
        <v>0.030014210183735523</v>
      </c>
      <c r="T125">
        <f t="shared" si="53"/>
        <v>0.03002216370339973</v>
      </c>
      <c r="U125">
        <f t="shared" si="54"/>
        <v>0.030030117223064597</v>
      </c>
      <c r="V125">
        <f t="shared" si="55"/>
        <v>0.033587116196064346</v>
      </c>
      <c r="W125" s="45">
        <f t="shared" si="36"/>
        <v>0.7538966419593209</v>
      </c>
      <c r="X125" s="45">
        <f t="shared" si="37"/>
        <v>1.0201996800226558</v>
      </c>
      <c r="Y125" s="45">
        <f t="shared" si="38"/>
        <v>0.9704702064563591</v>
      </c>
      <c r="Z125" s="45">
        <f t="shared" si="39"/>
        <v>0.9446784072786822</v>
      </c>
      <c r="AA125" s="45">
        <f t="shared" si="40"/>
        <v>0.7691251128970539</v>
      </c>
      <c r="AB125" s="45">
        <f t="shared" si="41"/>
        <v>0.761478643402961</v>
      </c>
      <c r="AC125" s="45">
        <f t="shared" si="42"/>
        <v>0.7539081933948317</v>
      </c>
      <c r="AD125" s="45">
        <f t="shared" si="43"/>
        <v>0.7464130071039743</v>
      </c>
      <c r="AE125" s="45">
        <f t="shared" si="44"/>
        <v>0.7389923362753797</v>
      </c>
      <c r="AF125" s="45">
        <f t="shared" si="45"/>
        <v>0.7288563060004395</v>
      </c>
    </row>
    <row r="126" spans="1:32" ht="12.75">
      <c r="A126">
        <v>114</v>
      </c>
      <c r="B126">
        <f t="shared" si="34"/>
        <v>9.5</v>
      </c>
      <c r="C126">
        <f aca="true" t="shared" si="59" ref="C126:F132">C$6+C$7*((1-EXP(-$B126/C$9))/($B126/C$9))+C$8*((1-EXP(-$B126/C$9))/($B126/C$9)-EXP(-$B126/C$9))</f>
        <v>0.03</v>
      </c>
      <c r="D126">
        <f t="shared" si="59"/>
        <v>-0.0021051055750949737</v>
      </c>
      <c r="E126">
        <f t="shared" si="59"/>
        <v>0.0031554128077458292</v>
      </c>
      <c r="F126">
        <f t="shared" si="59"/>
        <v>0.0060015963320971975</v>
      </c>
      <c r="G126">
        <f t="shared" si="58"/>
        <v>0.027894894424905024</v>
      </c>
      <c r="H126">
        <f t="shared" si="58"/>
        <v>0.028946698694153634</v>
      </c>
      <c r="I126">
        <f t="shared" si="58"/>
        <v>0.029998502963402243</v>
      </c>
      <c r="J126">
        <f t="shared" si="58"/>
        <v>0.031050307232650853</v>
      </c>
      <c r="K126">
        <f t="shared" si="58"/>
        <v>0.03210211150189946</v>
      </c>
      <c r="L126">
        <f t="shared" si="57"/>
        <v>0.033587116196063915</v>
      </c>
      <c r="M126">
        <f t="shared" si="46"/>
        <v>0.029999999999999815</v>
      </c>
      <c r="N126">
        <f t="shared" si="47"/>
        <v>-1.56118251160019E-06</v>
      </c>
      <c r="O126">
        <f t="shared" si="48"/>
        <v>2.2147921845932905E-05</v>
      </c>
      <c r="P126">
        <f t="shared" si="49"/>
        <v>0.0012533518801752708</v>
      </c>
      <c r="Q126">
        <f t="shared" si="50"/>
        <v>0.029998438817488548</v>
      </c>
      <c r="R126">
        <f t="shared" si="51"/>
        <v>0.030005821458103387</v>
      </c>
      <c r="S126">
        <f t="shared" si="52"/>
        <v>0.030013204098718226</v>
      </c>
      <c r="T126">
        <f t="shared" si="53"/>
        <v>0.03002058673933373</v>
      </c>
      <c r="U126">
        <f t="shared" si="54"/>
        <v>0.03002796937994857</v>
      </c>
      <c r="V126">
        <f t="shared" si="55"/>
        <v>0.03358711619606368</v>
      </c>
      <c r="W126" s="45">
        <f t="shared" si="36"/>
        <v>0.7520142543193826</v>
      </c>
      <c r="X126" s="45">
        <f t="shared" si="37"/>
        <v>1.0201998127491558</v>
      </c>
      <c r="Y126" s="45">
        <f t="shared" si="38"/>
        <v>0.9704684152998214</v>
      </c>
      <c r="Z126" s="45">
        <f t="shared" si="39"/>
        <v>0.9445797445597409</v>
      </c>
      <c r="AA126" s="45">
        <f t="shared" si="40"/>
        <v>0.7672048014413303</v>
      </c>
      <c r="AB126" s="45">
        <f t="shared" si="41"/>
        <v>0.7595769559462275</v>
      </c>
      <c r="AC126" s="45">
        <f t="shared" si="42"/>
        <v>0.7520249494276117</v>
      </c>
      <c r="AD126" s="45">
        <f t="shared" si="43"/>
        <v>0.7445480278651819</v>
      </c>
      <c r="AE126" s="45">
        <f t="shared" si="44"/>
        <v>0.7371454447353977</v>
      </c>
      <c r="AF126" s="45">
        <f t="shared" si="45"/>
        <v>0.7268191431447737</v>
      </c>
    </row>
    <row r="127" spans="1:32" ht="12.75">
      <c r="A127">
        <v>115</v>
      </c>
      <c r="B127">
        <f t="shared" si="34"/>
        <v>9.583333333333332</v>
      </c>
      <c r="C127">
        <f t="shared" si="59"/>
        <v>0.03</v>
      </c>
      <c r="D127">
        <f t="shared" si="59"/>
        <v>-0.002086812799287625</v>
      </c>
      <c r="E127">
        <f t="shared" si="59"/>
        <v>0.003128153188691049</v>
      </c>
      <c r="F127">
        <f t="shared" si="59"/>
        <v>0.005959954575477718</v>
      </c>
      <c r="G127">
        <f t="shared" si="58"/>
        <v>0.027913187200712373</v>
      </c>
      <c r="H127">
        <f t="shared" si="58"/>
        <v>0.028955904930276055</v>
      </c>
      <c r="I127">
        <f t="shared" si="58"/>
        <v>0.029998622659839737</v>
      </c>
      <c r="J127">
        <f t="shared" si="58"/>
        <v>0.031041340389403423</v>
      </c>
      <c r="K127">
        <f t="shared" si="58"/>
        <v>0.032084058118967106</v>
      </c>
      <c r="L127">
        <f t="shared" si="57"/>
        <v>0.033587116196063915</v>
      </c>
      <c r="M127">
        <f t="shared" si="46"/>
        <v>0.030000000000000453</v>
      </c>
      <c r="N127">
        <f t="shared" si="47"/>
        <v>-1.4363572498482727E-06</v>
      </c>
      <c r="O127">
        <f t="shared" si="48"/>
        <v>2.055661644606606E-05</v>
      </c>
      <c r="P127">
        <f t="shared" si="49"/>
        <v>0.0012127943208569863</v>
      </c>
      <c r="Q127">
        <f t="shared" si="50"/>
        <v>0.02999856364274998</v>
      </c>
      <c r="R127">
        <f t="shared" si="51"/>
        <v>0.030005415848232336</v>
      </c>
      <c r="S127">
        <f t="shared" si="52"/>
        <v>0.030012268053714024</v>
      </c>
      <c r="T127">
        <f t="shared" si="53"/>
        <v>0.03001912025919638</v>
      </c>
      <c r="U127">
        <f t="shared" si="54"/>
        <v>0.030025972464678734</v>
      </c>
      <c r="V127">
        <f t="shared" si="55"/>
        <v>0.03358711619606373</v>
      </c>
      <c r="W127" s="45">
        <f t="shared" si="36"/>
        <v>0.7501365667709818</v>
      </c>
      <c r="X127" s="45">
        <f t="shared" si="37"/>
        <v>1.0201999348634463</v>
      </c>
      <c r="Y127" s="45">
        <f t="shared" si="38"/>
        <v>0.9704667528389965</v>
      </c>
      <c r="Z127" s="45">
        <f t="shared" si="39"/>
        <v>0.9444842843045747</v>
      </c>
      <c r="AA127" s="45">
        <f t="shared" si="40"/>
        <v>0.7652892765584449</v>
      </c>
      <c r="AB127" s="45">
        <f t="shared" si="41"/>
        <v>0.7576800433007659</v>
      </c>
      <c r="AC127" s="45">
        <f t="shared" si="42"/>
        <v>0.7501464682713456</v>
      </c>
      <c r="AD127" s="45">
        <f t="shared" si="43"/>
        <v>0.7426877992041788</v>
      </c>
      <c r="AE127" s="45">
        <f t="shared" si="44"/>
        <v>0.7353032913130045</v>
      </c>
      <c r="AF127" s="45">
        <f t="shared" si="45"/>
        <v>0.7247876741857873</v>
      </c>
    </row>
    <row r="128" spans="1:32" ht="12.75">
      <c r="A128">
        <v>116</v>
      </c>
      <c r="B128">
        <f t="shared" si="34"/>
        <v>9.666666666666666</v>
      </c>
      <c r="C128">
        <f t="shared" si="59"/>
        <v>0.03</v>
      </c>
      <c r="D128">
        <f t="shared" si="59"/>
        <v>-0.002068834426125363</v>
      </c>
      <c r="E128">
        <f t="shared" si="59"/>
        <v>0.0031013508180058077</v>
      </c>
      <c r="F128">
        <f t="shared" si="59"/>
        <v>0.0059186916882364915</v>
      </c>
      <c r="G128">
        <f t="shared" si="58"/>
        <v>0.027931165573874636</v>
      </c>
      <c r="H128">
        <f t="shared" si="58"/>
        <v>0.028964949179876572</v>
      </c>
      <c r="I128">
        <f t="shared" si="58"/>
        <v>0.02999873278587851</v>
      </c>
      <c r="J128">
        <f t="shared" si="58"/>
        <v>0.031032516391880444</v>
      </c>
      <c r="K128">
        <f t="shared" si="58"/>
        <v>0.03206629999788238</v>
      </c>
      <c r="L128">
        <f t="shared" si="57"/>
        <v>0.033587116196063915</v>
      </c>
      <c r="M128">
        <f t="shared" si="46"/>
        <v>0.029999999999999815</v>
      </c>
      <c r="N128">
        <f t="shared" si="47"/>
        <v>-1.3215124652493544E-06</v>
      </c>
      <c r="O128">
        <f t="shared" si="48"/>
        <v>1.9078189203061566E-05</v>
      </c>
      <c r="P128">
        <f t="shared" si="49"/>
        <v>0.0011734596554954153</v>
      </c>
      <c r="Q128">
        <f t="shared" si="50"/>
        <v>0.029998678487535024</v>
      </c>
      <c r="R128">
        <f t="shared" si="51"/>
        <v>0.030005037883935836</v>
      </c>
      <c r="S128">
        <f t="shared" si="52"/>
        <v>0.030011397280337315</v>
      </c>
      <c r="T128">
        <f t="shared" si="53"/>
        <v>0.030017756676738127</v>
      </c>
      <c r="U128">
        <f t="shared" si="54"/>
        <v>0.03002411607313894</v>
      </c>
      <c r="V128">
        <f t="shared" si="55"/>
        <v>0.033587116196064346</v>
      </c>
      <c r="W128" s="45">
        <f t="shared" si="36"/>
        <v>0.7482635675785653</v>
      </c>
      <c r="X128" s="45">
        <f t="shared" si="37"/>
        <v>1.02020004721403</v>
      </c>
      <c r="Y128" s="45">
        <f t="shared" si="38"/>
        <v>0.9704652099445291</v>
      </c>
      <c r="Z128" s="45">
        <f t="shared" si="39"/>
        <v>0.9443919293033609</v>
      </c>
      <c r="AA128" s="45">
        <f t="shared" si="40"/>
        <v>0.7633785269721909</v>
      </c>
      <c r="AB128" s="45">
        <f t="shared" si="41"/>
        <v>0.7557878916730503</v>
      </c>
      <c r="AC128" s="45">
        <f t="shared" si="42"/>
        <v>0.7482727336662474</v>
      </c>
      <c r="AD128" s="45">
        <f t="shared" si="43"/>
        <v>0.7408323024452126</v>
      </c>
      <c r="AE128" s="45">
        <f t="shared" si="44"/>
        <v>0.7334658549660198</v>
      </c>
      <c r="AF128" s="45">
        <f t="shared" si="45"/>
        <v>0.722761883208965</v>
      </c>
    </row>
    <row r="129" spans="1:32" ht="12.75">
      <c r="A129">
        <v>117</v>
      </c>
      <c r="B129">
        <f t="shared" si="34"/>
        <v>9.75</v>
      </c>
      <c r="C129">
        <f t="shared" si="59"/>
        <v>0.03</v>
      </c>
      <c r="D129">
        <f t="shared" si="59"/>
        <v>-0.0020511624724846547</v>
      </c>
      <c r="E129">
        <f t="shared" si="59"/>
        <v>0.003074994868815056</v>
      </c>
      <c r="F129">
        <f t="shared" si="59"/>
        <v>0.00587780813208737</v>
      </c>
      <c r="G129">
        <f t="shared" si="58"/>
        <v>0.027948837527515345</v>
      </c>
      <c r="H129">
        <f t="shared" si="58"/>
        <v>0.028973835817120364</v>
      </c>
      <c r="I129">
        <f t="shared" si="58"/>
        <v>0.02999883410672538</v>
      </c>
      <c r="J129">
        <f t="shared" si="58"/>
        <v>0.0310238323963304</v>
      </c>
      <c r="K129">
        <f t="shared" si="58"/>
        <v>0.03204883068593542</v>
      </c>
      <c r="L129">
        <f t="shared" si="57"/>
        <v>0.033587116196063915</v>
      </c>
      <c r="M129">
        <f t="shared" si="46"/>
        <v>0.029999999999999815</v>
      </c>
      <c r="N129">
        <f t="shared" si="47"/>
        <v>-1.2158501624670494E-06</v>
      </c>
      <c r="O129">
        <f t="shared" si="48"/>
        <v>1.7704762687878336E-05</v>
      </c>
      <c r="P129">
        <f t="shared" si="49"/>
        <v>0.0011353156187892874</v>
      </c>
      <c r="Q129">
        <f t="shared" si="50"/>
        <v>0.029998784149837265</v>
      </c>
      <c r="R129">
        <f t="shared" si="51"/>
        <v>0.03000468573740057</v>
      </c>
      <c r="S129">
        <f t="shared" si="52"/>
        <v>0.030010587324962545</v>
      </c>
      <c r="T129">
        <f t="shared" si="53"/>
        <v>0.030016488912525185</v>
      </c>
      <c r="U129">
        <f t="shared" si="54"/>
        <v>0.030022390500087825</v>
      </c>
      <c r="V129">
        <f t="shared" si="55"/>
        <v>0.03358711619606368</v>
      </c>
      <c r="W129" s="45">
        <f t="shared" si="36"/>
        <v>0.7463952450358817</v>
      </c>
      <c r="X129" s="45">
        <f t="shared" si="37"/>
        <v>1.020200150581568</v>
      </c>
      <c r="Y129" s="45">
        <f t="shared" si="38"/>
        <v>0.9704637781242322</v>
      </c>
      <c r="Z129" s="45">
        <f t="shared" si="39"/>
        <v>0.9443025849542127</v>
      </c>
      <c r="AA129" s="45">
        <f t="shared" si="40"/>
        <v>0.7614725413789729</v>
      </c>
      <c r="AB129" s="45">
        <f t="shared" si="41"/>
        <v>0.753900487432361</v>
      </c>
      <c r="AC129" s="45">
        <f t="shared" si="42"/>
        <v>0.746403729701771</v>
      </c>
      <c r="AD129" s="45">
        <f t="shared" si="43"/>
        <v>0.7389815194444989</v>
      </c>
      <c r="AE129" s="45">
        <f t="shared" si="44"/>
        <v>0.7316331153633093</v>
      </c>
      <c r="AF129" s="45">
        <f t="shared" si="45"/>
        <v>0.7207417543442728</v>
      </c>
    </row>
    <row r="130" spans="1:32" ht="12.75">
      <c r="A130">
        <v>118</v>
      </c>
      <c r="B130">
        <f t="shared" si="34"/>
        <v>9.833333333333332</v>
      </c>
      <c r="C130">
        <f t="shared" si="59"/>
        <v>0.03</v>
      </c>
      <c r="D130">
        <f t="shared" si="59"/>
        <v>-0.00203378921963437</v>
      </c>
      <c r="E130">
        <f t="shared" si="59"/>
        <v>0.0030490748190585065</v>
      </c>
      <c r="F130">
        <f t="shared" si="59"/>
        <v>0.0058373040847157585</v>
      </c>
      <c r="G130">
        <f t="shared" si="58"/>
        <v>0.027966210780365628</v>
      </c>
      <c r="H130">
        <f t="shared" si="58"/>
        <v>0.02898256905338513</v>
      </c>
      <c r="I130">
        <f t="shared" si="58"/>
        <v>0.029998927326404634</v>
      </c>
      <c r="J130">
        <f t="shared" si="58"/>
        <v>0.031015285599424135</v>
      </c>
      <c r="K130">
        <f t="shared" si="58"/>
        <v>0.03203164387244364</v>
      </c>
      <c r="L130">
        <f t="shared" si="57"/>
        <v>0.033587116196063915</v>
      </c>
      <c r="M130">
        <f t="shared" si="46"/>
        <v>0.029999999999999787</v>
      </c>
      <c r="N130">
        <f t="shared" si="47"/>
        <v>-1.1186361510429225E-06</v>
      </c>
      <c r="O130">
        <f t="shared" si="48"/>
        <v>1.6428997542186863E-05</v>
      </c>
      <c r="P130">
        <f t="shared" si="49"/>
        <v>0.001098330542237196</v>
      </c>
      <c r="Q130">
        <f t="shared" si="50"/>
        <v>0.029998881363848744</v>
      </c>
      <c r="R130">
        <f t="shared" si="51"/>
        <v>0.030004357696362876</v>
      </c>
      <c r="S130">
        <f t="shared" si="52"/>
        <v>0.030009834028877674</v>
      </c>
      <c r="T130">
        <f t="shared" si="53"/>
        <v>0.03001531036139114</v>
      </c>
      <c r="U130">
        <f t="shared" si="54"/>
        <v>0.03002078669390527</v>
      </c>
      <c r="V130">
        <f t="shared" si="55"/>
        <v>0.03358711619606373</v>
      </c>
      <c r="W130" s="45">
        <f t="shared" si="36"/>
        <v>0.7445315874659094</v>
      </c>
      <c r="X130" s="45">
        <f t="shared" si="37"/>
        <v>1.0202002456843033</v>
      </c>
      <c r="Y130" s="45">
        <f t="shared" si="38"/>
        <v>0.9704624494795562</v>
      </c>
      <c r="Z130" s="45">
        <f t="shared" si="39"/>
        <v>0.9442161592119269</v>
      </c>
      <c r="AA130" s="45">
        <f t="shared" si="40"/>
        <v>0.7595713084524451</v>
      </c>
      <c r="AB130" s="45">
        <f t="shared" si="41"/>
        <v>0.7520178171019222</v>
      </c>
      <c r="AC130" s="45">
        <f t="shared" si="42"/>
        <v>0.7445394407945131</v>
      </c>
      <c r="AD130" s="45">
        <f t="shared" si="43"/>
        <v>0.7371354325551515</v>
      </c>
      <c r="AE130" s="45">
        <f t="shared" si="44"/>
        <v>0.7298050528370003</v>
      </c>
      <c r="AF130" s="45">
        <f t="shared" si="45"/>
        <v>0.7187272717660337</v>
      </c>
    </row>
    <row r="131" spans="1:32" ht="12.75">
      <c r="A131">
        <v>119</v>
      </c>
      <c r="B131">
        <f t="shared" si="34"/>
        <v>9.916666666666666</v>
      </c>
      <c r="C131">
        <f t="shared" si="59"/>
        <v>0.03</v>
      </c>
      <c r="D131">
        <f t="shared" si="59"/>
        <v>-0.0020167072026201546</v>
      </c>
      <c r="E131">
        <f t="shared" si="59"/>
        <v>0.003023580442905027</v>
      </c>
      <c r="F131">
        <f t="shared" si="59"/>
        <v>0.0057971794567699166</v>
      </c>
      <c r="G131">
        <f t="shared" si="58"/>
        <v>0.027983292797379843</v>
      </c>
      <c r="H131">
        <f t="shared" si="58"/>
        <v>0.02899115294501485</v>
      </c>
      <c r="I131">
        <f t="shared" si="58"/>
        <v>0.02999901309264986</v>
      </c>
      <c r="J131">
        <f t="shared" si="58"/>
        <v>0.03100687324028487</v>
      </c>
      <c r="K131">
        <f t="shared" si="58"/>
        <v>0.03201473338791988</v>
      </c>
      <c r="L131">
        <f t="shared" si="57"/>
        <v>0.033587116196063915</v>
      </c>
      <c r="M131">
        <f t="shared" si="46"/>
        <v>0.03000000000000048</v>
      </c>
      <c r="N131">
        <f t="shared" si="47"/>
        <v>-1.0291949427698658E-06</v>
      </c>
      <c r="O131">
        <f t="shared" si="48"/>
        <v>1.524405679445551E-05</v>
      </c>
      <c r="P131">
        <f t="shared" si="49"/>
        <v>0.0010624733591605908</v>
      </c>
      <c r="Q131">
        <f t="shared" si="50"/>
        <v>0.02999897080505721</v>
      </c>
      <c r="R131">
        <f t="shared" si="51"/>
        <v>0.030004052157321503</v>
      </c>
      <c r="S131">
        <f t="shared" si="52"/>
        <v>0.03000913350958646</v>
      </c>
      <c r="T131">
        <f t="shared" si="53"/>
        <v>0.030014214861851417</v>
      </c>
      <c r="U131">
        <f t="shared" si="54"/>
        <v>0.030019296214116375</v>
      </c>
      <c r="V131">
        <f t="shared" si="55"/>
        <v>0.033587116196064346</v>
      </c>
      <c r="W131" s="45">
        <f t="shared" si="36"/>
        <v>0.7426725832207823</v>
      </c>
      <c r="X131" s="45">
        <f t="shared" si="37"/>
        <v>1.0202003331830516</v>
      </c>
      <c r="Y131" s="45">
        <f t="shared" si="38"/>
        <v>0.9704612166649479</v>
      </c>
      <c r="Z131" s="45">
        <f t="shared" si="39"/>
        <v>0.944132562536579</v>
      </c>
      <c r="AA131" s="45">
        <f t="shared" si="40"/>
        <v>0.7576748168477597</v>
      </c>
      <c r="AB131" s="45">
        <f t="shared" si="41"/>
        <v>0.7501398673505837</v>
      </c>
      <c r="AC131" s="45">
        <f t="shared" si="42"/>
        <v>0.7426798516675751</v>
      </c>
      <c r="AD131" s="45">
        <f t="shared" si="43"/>
        <v>0.7352940245944685</v>
      </c>
      <c r="AE131" s="45">
        <f t="shared" si="44"/>
        <v>0.72798164833793</v>
      </c>
      <c r="AF131" s="45">
        <f t="shared" si="45"/>
        <v>0.7167184196928036</v>
      </c>
    </row>
    <row r="132" spans="1:32" ht="12.75">
      <c r="A132">
        <v>120</v>
      </c>
      <c r="B132">
        <f t="shared" si="34"/>
        <v>10</v>
      </c>
      <c r="C132">
        <f t="shared" si="59"/>
        <v>0.03</v>
      </c>
      <c r="D132">
        <f t="shared" si="59"/>
        <v>-0.001999909200140475</v>
      </c>
      <c r="E132">
        <f t="shared" si="59"/>
        <v>0.002998501802317838</v>
      </c>
      <c r="F132">
        <f t="shared" si="59"/>
        <v>0.0057574339080329225</v>
      </c>
      <c r="G132">
        <f t="shared" si="58"/>
        <v>0.028000090799859524</v>
      </c>
      <c r="H132">
        <f t="shared" si="58"/>
        <v>0.028999591400632137</v>
      </c>
      <c r="I132">
        <f t="shared" si="58"/>
        <v>0.02999909200140475</v>
      </c>
      <c r="J132">
        <f t="shared" si="58"/>
        <v>0.030998592602177362</v>
      </c>
      <c r="K132">
        <f t="shared" si="58"/>
        <v>0.031998093202949975</v>
      </c>
      <c r="L132">
        <f t="shared" si="57"/>
        <v>0.033587116196063915</v>
      </c>
      <c r="M132">
        <f t="shared" si="46"/>
        <v>0.029999999999999815</v>
      </c>
      <c r="N132">
        <f t="shared" si="47"/>
        <v>-9.4690505861305E-07</v>
      </c>
      <c r="O132">
        <f t="shared" si="48"/>
        <v>1.4143572442351549E-05</v>
      </c>
      <c r="P132">
        <f t="shared" si="49"/>
        <v>0.0010277136083306697</v>
      </c>
      <c r="Q132">
        <f t="shared" si="50"/>
        <v>0.029999053094941452</v>
      </c>
      <c r="R132">
        <f t="shared" si="51"/>
        <v>0.030003767619089194</v>
      </c>
      <c r="S132">
        <f t="shared" si="52"/>
        <v>0.03000848214323627</v>
      </c>
      <c r="T132">
        <f t="shared" si="53"/>
        <v>0.03001319666738401</v>
      </c>
      <c r="U132">
        <f t="shared" si="54"/>
        <v>0.030017911191531087</v>
      </c>
      <c r="V132">
        <f t="shared" si="55"/>
        <v>0.03358711619606368</v>
      </c>
      <c r="W132" s="45">
        <f t="shared" si="36"/>
        <v>0.7408182206817179</v>
      </c>
      <c r="X132" s="45">
        <f t="shared" si="37"/>
        <v>1.0202004136857927</v>
      </c>
      <c r="Y132" s="45">
        <f t="shared" si="38"/>
        <v>0.9704600728499119</v>
      </c>
      <c r="Z132" s="45">
        <f t="shared" si="39"/>
        <v>0.9440517078420574</v>
      </c>
      <c r="AA132" s="45">
        <f t="shared" si="40"/>
        <v>0.7557830552054615</v>
      </c>
      <c r="AB132" s="45">
        <f t="shared" si="41"/>
        <v>0.7482666249850186</v>
      </c>
      <c r="AC132" s="45">
        <f t="shared" si="42"/>
        <v>0.7408249473312939</v>
      </c>
      <c r="AD132" s="45">
        <f t="shared" si="43"/>
        <v>0.7334572788134212</v>
      </c>
      <c r="AE132" s="45">
        <f t="shared" si="44"/>
        <v>0.7261628833941188</v>
      </c>
      <c r="AF132" s="45">
        <f t="shared" si="45"/>
        <v>0.7147151823872477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5"/>
  <dimension ref="A2:H63"/>
  <sheetViews>
    <sheetView workbookViewId="0" topLeftCell="A1">
      <selection activeCell="H1" sqref="H1"/>
    </sheetView>
  </sheetViews>
  <sheetFormatPr defaultColWidth="11.421875" defaultRowHeight="12.75"/>
  <sheetData>
    <row r="2" spans="7:8" ht="12.75">
      <c r="G2" s="32" t="s">
        <v>203</v>
      </c>
      <c r="H2" s="32"/>
    </row>
    <row r="3" spans="7:8" ht="12.75">
      <c r="G3" s="32" t="s">
        <v>26</v>
      </c>
      <c r="H3" s="31">
        <v>0.010309980558482566</v>
      </c>
    </row>
    <row r="4" spans="7:8" ht="12.75">
      <c r="G4" s="32" t="s">
        <v>27</v>
      </c>
      <c r="H4" s="31">
        <v>0.012362896901803982</v>
      </c>
    </row>
    <row r="5" spans="2:8" ht="12.75">
      <c r="B5" s="32" t="s">
        <v>202</v>
      </c>
      <c r="C5" s="32"/>
      <c r="G5" s="32" t="s">
        <v>28</v>
      </c>
      <c r="H5" s="31">
        <v>0.000985497165597124</v>
      </c>
    </row>
    <row r="6" spans="2:8" ht="12.75">
      <c r="B6" s="32" t="s">
        <v>140</v>
      </c>
      <c r="C6" s="40">
        <v>0.03</v>
      </c>
      <c r="G6" s="32" t="s">
        <v>33</v>
      </c>
      <c r="H6" s="31">
        <v>-0.0015687856231802395</v>
      </c>
    </row>
    <row r="7" spans="2:8" ht="12.75">
      <c r="B7" s="32" t="s">
        <v>141</v>
      </c>
      <c r="C7" s="40">
        <v>-0.02</v>
      </c>
      <c r="G7" s="32" t="s">
        <v>35</v>
      </c>
      <c r="H7" s="31">
        <v>0.0018368930708345336</v>
      </c>
    </row>
    <row r="8" spans="2:8" ht="12.75">
      <c r="B8" s="32" t="s">
        <v>142</v>
      </c>
      <c r="C8" s="40">
        <v>0.02</v>
      </c>
      <c r="G8" s="32" t="s">
        <v>198</v>
      </c>
      <c r="H8" s="31">
        <v>0</v>
      </c>
    </row>
    <row r="9" spans="2:8" ht="12.75">
      <c r="B9" s="32" t="s">
        <v>143</v>
      </c>
      <c r="C9" s="31">
        <v>1</v>
      </c>
      <c r="G9" s="32" t="s">
        <v>204</v>
      </c>
      <c r="H9" s="1">
        <v>1</v>
      </c>
    </row>
    <row r="10" spans="7:8" ht="12.75">
      <c r="G10" s="32" t="s">
        <v>205</v>
      </c>
      <c r="H10" s="1">
        <v>3</v>
      </c>
    </row>
    <row r="11" spans="2:8" ht="12.75">
      <c r="B11" s="30" t="s">
        <v>144</v>
      </c>
      <c r="G11" s="32" t="s">
        <v>208</v>
      </c>
      <c r="H11" s="49">
        <f>SUM(H14:H63)</f>
        <v>0.00036553115030877925</v>
      </c>
    </row>
    <row r="12" ht="12.75">
      <c r="B12">
        <f>1/12</f>
        <v>0.08333333333333333</v>
      </c>
    </row>
    <row r="13" spans="1:8" ht="12.75">
      <c r="A13" t="s">
        <v>32</v>
      </c>
      <c r="B13" s="30" t="s">
        <v>214</v>
      </c>
      <c r="C13" s="30" t="s">
        <v>199</v>
      </c>
      <c r="D13" s="30" t="s">
        <v>201</v>
      </c>
      <c r="E13" s="30" t="s">
        <v>200</v>
      </c>
      <c r="F13" s="30" t="s">
        <v>207</v>
      </c>
      <c r="G13" s="30" t="s">
        <v>215</v>
      </c>
      <c r="H13" s="30" t="s">
        <v>206</v>
      </c>
    </row>
    <row r="14" spans="1:8" ht="12.75">
      <c r="A14">
        <v>1</v>
      </c>
      <c r="B14">
        <f>A14*$B$12</f>
        <v>0.08333333333333333</v>
      </c>
      <c r="C14">
        <f>$C$6+C$7*((1-EXP(-$B14/C$9))/($B14/C$9))+C$8*((1-EXP(-$B14/C$9))/($B14/C$9)-EXP(-$B14/C$9))</f>
        <v>0.011599111707413531</v>
      </c>
      <c r="D14" s="35">
        <f ca="1">(RAND()-0.5)/100</f>
        <v>0.0036429911517642387</v>
      </c>
      <c r="E14" s="35">
        <v>-0.0011141417119369201</v>
      </c>
      <c r="F14" s="35">
        <f>C14+E14</f>
        <v>0.010484969995476611</v>
      </c>
      <c r="G14" s="35">
        <f>$H$3+$H$4*B14+$H$5*(B14^2)+$H$6*(B14^3)+$H$7*(MAX(0,B14-$H$9))^3+$H$7*(MAX(0,B14-$H$10))^3</f>
        <v>0.011346157835232426</v>
      </c>
      <c r="H14">
        <f>(G14-F14)^2</f>
        <v>7.416444953432866E-07</v>
      </c>
    </row>
    <row r="15" spans="1:8" ht="12.75">
      <c r="A15">
        <v>2</v>
      </c>
      <c r="B15">
        <f aca="true" t="shared" si="0" ref="B15:B63">A15*$B$12</f>
        <v>0.16666666666666666</v>
      </c>
      <c r="C15">
        <f aca="true" t="shared" si="1" ref="C15:C63">$C$6+C$7*((1-EXP(-$B15/C$9))/($B15/C$9))+C$8*((1-EXP(-$B15/C$9))/($B15/C$9)-EXP(-$B15/C$9))</f>
        <v>0.013070365502187715</v>
      </c>
      <c r="D15" s="35">
        <f aca="true" ca="1" t="shared" si="2" ref="D15:D63">(RAND()-0.5)/100</f>
        <v>0.0035373726570564878</v>
      </c>
      <c r="E15" s="35">
        <v>-0.0017337400487761378</v>
      </c>
      <c r="F15" s="35">
        <f aca="true" t="shared" si="3" ref="F15:F38">C15+E15</f>
        <v>0.011336625453411579</v>
      </c>
      <c r="G15" s="35">
        <f aca="true" t="shared" si="4" ref="G15:G63">$H$3+$H$4*B15+$H$5*(B15^2)+$H$6*(B15^3)+$H$7*(MAX(0,B15-$H$9))^3+$H$7*(MAX(0,B15-$H$10))^3</f>
        <v>0.01239057540031287</v>
      </c>
      <c r="H15">
        <f aca="true" t="shared" si="5" ref="H15:H63">(G15-F15)^2</f>
        <v>1.110810490573236E-06</v>
      </c>
    </row>
    <row r="16" spans="1:8" ht="12.75">
      <c r="A16">
        <v>3</v>
      </c>
      <c r="B16">
        <f t="shared" si="0"/>
        <v>0.25</v>
      </c>
      <c r="C16">
        <f t="shared" si="1"/>
        <v>0.0144239843385719</v>
      </c>
      <c r="D16" s="35">
        <f ca="1" t="shared" si="2"/>
        <v>0.0004957626172868413</v>
      </c>
      <c r="E16" s="35">
        <v>-0.0008128866075067531</v>
      </c>
      <c r="F16" s="35">
        <f t="shared" si="3"/>
        <v>0.013611097731065147</v>
      </c>
      <c r="G16" s="35">
        <f t="shared" si="4"/>
        <v>0.013437786081421191</v>
      </c>
      <c r="H16">
        <f t="shared" si="5"/>
        <v>3.003692790230921E-08</v>
      </c>
    </row>
    <row r="17" spans="1:8" ht="12.75">
      <c r="A17">
        <v>4</v>
      </c>
      <c r="B17">
        <f t="shared" si="0"/>
        <v>0.3333333333333333</v>
      </c>
      <c r="C17">
        <f t="shared" si="1"/>
        <v>0.015669373788524215</v>
      </c>
      <c r="D17" s="35">
        <f ca="1" t="shared" si="2"/>
        <v>0.003024205002043223</v>
      </c>
      <c r="E17" s="35">
        <v>0.0007253105732875653</v>
      </c>
      <c r="F17" s="35">
        <f t="shared" si="3"/>
        <v>0.01639468436181178</v>
      </c>
      <c r="G17" s="35">
        <f t="shared" si="4"/>
        <v>0.014482342706254675</v>
      </c>
      <c r="H17">
        <f t="shared" si="5"/>
        <v>3.657050607578895E-06</v>
      </c>
    </row>
    <row r="18" spans="1:8" ht="12.75">
      <c r="A18">
        <v>5</v>
      </c>
      <c r="B18">
        <f t="shared" si="0"/>
        <v>0.41666666666666663</v>
      </c>
      <c r="C18">
        <f t="shared" si="1"/>
        <v>0.016815187395991124</v>
      </c>
      <c r="D18" s="35">
        <f ca="1" t="shared" si="2"/>
        <v>-0.0040738722754609215</v>
      </c>
      <c r="E18" s="35">
        <v>0.000527228878814432</v>
      </c>
      <c r="F18" s="35">
        <f t="shared" si="3"/>
        <v>0.017342416274805556</v>
      </c>
      <c r="G18" s="35">
        <f t="shared" si="4"/>
        <v>0.015518798102510617</v>
      </c>
      <c r="H18">
        <f t="shared" si="5"/>
        <v>3.3255832383243356E-06</v>
      </c>
    </row>
    <row r="19" spans="1:8" ht="12.75">
      <c r="A19">
        <v>6</v>
      </c>
      <c r="B19">
        <f t="shared" si="0"/>
        <v>0.5</v>
      </c>
      <c r="C19">
        <f t="shared" si="1"/>
        <v>0.017869386805747327</v>
      </c>
      <c r="D19" s="35">
        <f ca="1" t="shared" si="2"/>
        <v>-0.003932235573356957</v>
      </c>
      <c r="E19" s="35">
        <v>-0.004631116242542763</v>
      </c>
      <c r="F19" s="35">
        <f t="shared" si="3"/>
        <v>0.013238270563204564</v>
      </c>
      <c r="G19" s="35">
        <f t="shared" si="4"/>
        <v>0.016541705097886307</v>
      </c>
      <c r="H19">
        <f t="shared" si="5"/>
        <v>1.091267972492798E-05</v>
      </c>
    </row>
    <row r="20" spans="1:8" ht="12.75">
      <c r="A20">
        <v>7</v>
      </c>
      <c r="B20">
        <f t="shared" si="0"/>
        <v>0.5833333333333333</v>
      </c>
      <c r="C20">
        <f t="shared" si="1"/>
        <v>0.018839297084599055</v>
      </c>
      <c r="D20" s="35">
        <f ca="1" t="shared" si="2"/>
        <v>-0.004556861691418861</v>
      </c>
      <c r="E20" s="35">
        <v>-0.0022183185067478827</v>
      </c>
      <c r="F20" s="35">
        <f t="shared" si="3"/>
        <v>0.01662097857785117</v>
      </c>
      <c r="G20" s="35">
        <f t="shared" si="4"/>
        <v>0.01754561652007904</v>
      </c>
      <c r="H20">
        <f t="shared" si="5"/>
        <v>8.549553242073854E-07</v>
      </c>
    </row>
    <row r="21" spans="1:8" ht="12.75">
      <c r="A21">
        <v>8</v>
      </c>
      <c r="B21">
        <f t="shared" si="0"/>
        <v>0.6666666666666666</v>
      </c>
      <c r="C21">
        <f t="shared" si="1"/>
        <v>0.01973165761934816</v>
      </c>
      <c r="D21" s="35">
        <f ca="1" t="shared" si="2"/>
        <v>-0.004097677796350183</v>
      </c>
      <c r="E21" s="35">
        <v>-0.002004816683760422</v>
      </c>
      <c r="F21" s="35">
        <f t="shared" si="3"/>
        <v>0.017726840935587736</v>
      </c>
      <c r="G21" s="35">
        <f t="shared" si="4"/>
        <v>0.018525085196786095</v>
      </c>
      <c r="H21">
        <f t="shared" si="5"/>
        <v>6.371939005361126E-07</v>
      </c>
    </row>
    <row r="22" spans="1:8" ht="12.75">
      <c r="A22">
        <v>9</v>
      </c>
      <c r="B22">
        <f t="shared" si="0"/>
        <v>0.75</v>
      </c>
      <c r="C22">
        <f t="shared" si="1"/>
        <v>0.02055266894517971</v>
      </c>
      <c r="D22" s="35">
        <f ca="1" t="shared" si="2"/>
        <v>-0.0034020188834075517</v>
      </c>
      <c r="E22" s="35">
        <v>0.0024898942758417287</v>
      </c>
      <c r="F22" s="35">
        <f t="shared" si="3"/>
        <v>0.023042563221021436</v>
      </c>
      <c r="G22" s="35">
        <f t="shared" si="4"/>
        <v>0.019474663955704772</v>
      </c>
      <c r="H22">
        <f t="shared" si="5"/>
        <v>1.2729905167447189E-05</v>
      </c>
    </row>
    <row r="23" spans="1:8" ht="12.75">
      <c r="A23">
        <v>10</v>
      </c>
      <c r="B23">
        <f t="shared" si="0"/>
        <v>0.8333333333333333</v>
      </c>
      <c r="C23">
        <f t="shared" si="1"/>
        <v>0.021308035829858435</v>
      </c>
      <c r="D23" s="35">
        <f ca="1" t="shared" si="2"/>
        <v>-0.004078742260073928</v>
      </c>
      <c r="E23" s="35">
        <v>-0.0005335232014023106</v>
      </c>
      <c r="F23" s="35">
        <f t="shared" si="3"/>
        <v>0.020774512628456126</v>
      </c>
      <c r="G23" s="35">
        <f t="shared" si="4"/>
        <v>0.02038890562453236</v>
      </c>
      <c r="H23">
        <f t="shared" si="5"/>
        <v>1.486927614750642E-07</v>
      </c>
    </row>
    <row r="24" spans="1:8" ht="12.75">
      <c r="A24">
        <v>11</v>
      </c>
      <c r="B24">
        <f t="shared" si="0"/>
        <v>0.9166666666666666</v>
      </c>
      <c r="C24">
        <f t="shared" si="1"/>
        <v>0.022003006913103054</v>
      </c>
      <c r="D24" s="35">
        <f ca="1" t="shared" si="2"/>
        <v>-0.002616069050319254</v>
      </c>
      <c r="E24" s="35">
        <v>0.004997663036179176</v>
      </c>
      <c r="F24" s="35">
        <f t="shared" si="3"/>
        <v>0.02700066994928223</v>
      </c>
      <c r="G24" s="35">
        <f t="shared" si="4"/>
        <v>0.02126236303096615</v>
      </c>
      <c r="H24">
        <f t="shared" si="5"/>
        <v>3.2928166288794204E-05</v>
      </c>
    </row>
    <row r="25" spans="1:8" ht="12.75">
      <c r="A25">
        <v>12</v>
      </c>
      <c r="B25">
        <f t="shared" si="0"/>
        <v>1</v>
      </c>
      <c r="C25">
        <f t="shared" si="1"/>
        <v>0.022642411176571155</v>
      </c>
      <c r="D25" s="35">
        <f ca="1" t="shared" si="2"/>
        <v>0.0044020995843429755</v>
      </c>
      <c r="E25" s="35">
        <v>-0.0032995762900607127</v>
      </c>
      <c r="F25" s="35">
        <f t="shared" si="3"/>
        <v>0.01934283488651044</v>
      </c>
      <c r="G25" s="35">
        <f t="shared" si="4"/>
        <v>0.02208958900270343</v>
      </c>
      <c r="H25">
        <f t="shared" si="5"/>
        <v>7.544658174823132E-06</v>
      </c>
    </row>
    <row r="26" spans="1:8" ht="12.75">
      <c r="A26">
        <v>12</v>
      </c>
      <c r="B26">
        <f t="shared" si="0"/>
        <v>1</v>
      </c>
      <c r="C26">
        <f t="shared" si="1"/>
        <v>0.022642411176571155</v>
      </c>
      <c r="D26" s="35">
        <f ca="1" t="shared" si="2"/>
        <v>-0.0003921658543513296</v>
      </c>
      <c r="E26" s="35">
        <v>0.003772032234732463</v>
      </c>
      <c r="F26" s="35">
        <f t="shared" si="3"/>
        <v>0.02641444341130362</v>
      </c>
      <c r="G26" s="35">
        <f t="shared" si="4"/>
        <v>0.02208958900270343</v>
      </c>
      <c r="H26">
        <f t="shared" si="5"/>
        <v>1.8704365655588483E-05</v>
      </c>
    </row>
    <row r="27" spans="1:8" ht="12.75">
      <c r="A27">
        <v>12</v>
      </c>
      <c r="B27">
        <f t="shared" si="0"/>
        <v>1</v>
      </c>
      <c r="C27">
        <f t="shared" si="1"/>
        <v>0.022642411176571155</v>
      </c>
      <c r="D27" s="35">
        <f ca="1" t="shared" si="2"/>
        <v>0.004920078967327346</v>
      </c>
      <c r="E27" s="35">
        <v>-0.004819551578629761</v>
      </c>
      <c r="F27" s="35">
        <f t="shared" si="3"/>
        <v>0.017822859597941394</v>
      </c>
      <c r="G27" s="35">
        <f t="shared" si="4"/>
        <v>0.02208958900270343</v>
      </c>
      <c r="H27">
        <f t="shared" si="5"/>
        <v>1.8204979813461005E-05</v>
      </c>
    </row>
    <row r="28" spans="1:8" ht="12.75">
      <c r="A28">
        <v>15</v>
      </c>
      <c r="B28">
        <f t="shared" si="0"/>
        <v>1.25</v>
      </c>
      <c r="C28">
        <f t="shared" si="1"/>
        <v>0.024269904062796197</v>
      </c>
      <c r="D28" s="35">
        <f ca="1" t="shared" si="2"/>
        <v>-0.0013161551378323554</v>
      </c>
      <c r="E28" s="35">
        <v>0.0013954601096997287</v>
      </c>
      <c r="F28" s="35">
        <f t="shared" si="3"/>
        <v>0.025665364172495927</v>
      </c>
      <c r="G28" s="35">
        <f t="shared" si="4"/>
        <v>0.024268108040940935</v>
      </c>
      <c r="H28">
        <f t="shared" si="5"/>
        <v>1.9523246971680213E-06</v>
      </c>
    </row>
    <row r="29" spans="1:8" ht="12.75">
      <c r="A29">
        <v>16</v>
      </c>
      <c r="B29">
        <f t="shared" si="0"/>
        <v>1.3333333333333333</v>
      </c>
      <c r="C29">
        <f t="shared" si="1"/>
        <v>0.024728057237685463</v>
      </c>
      <c r="D29" s="35">
        <f ca="1" t="shared" si="2"/>
        <v>0.003948189504955641</v>
      </c>
      <c r="E29" s="35">
        <v>-0.004754898027795753</v>
      </c>
      <c r="F29" s="35">
        <f t="shared" si="3"/>
        <v>0.01997315920988971</v>
      </c>
      <c r="G29" s="35">
        <f t="shared" si="4"/>
        <v>0.02489526817333088</v>
      </c>
      <c r="H29">
        <f t="shared" si="5"/>
        <v>2.4227156647987896E-05</v>
      </c>
    </row>
    <row r="30" spans="1:8" ht="12.75">
      <c r="A30">
        <v>20</v>
      </c>
      <c r="B30">
        <f t="shared" si="0"/>
        <v>1.6666666666666665</v>
      </c>
      <c r="C30">
        <f t="shared" si="1"/>
        <v>0.02622248794324876</v>
      </c>
      <c r="D30" s="35">
        <f ca="1" t="shared" si="2"/>
        <v>-0.004897411192341355</v>
      </c>
      <c r="E30" s="35">
        <v>-0.001870067619855187</v>
      </c>
      <c r="F30" s="35">
        <f t="shared" si="3"/>
        <v>0.024352420323393572</v>
      </c>
      <c r="G30" s="35">
        <f t="shared" si="4"/>
        <v>0.026933669064782926</v>
      </c>
      <c r="H30">
        <f t="shared" si="5"/>
        <v>6.662845064924124E-06</v>
      </c>
    </row>
    <row r="31" spans="1:8" ht="12.75">
      <c r="A31">
        <v>20</v>
      </c>
      <c r="B31">
        <f t="shared" si="0"/>
        <v>1.6666666666666665</v>
      </c>
      <c r="C31">
        <f t="shared" si="1"/>
        <v>0.02622248794324876</v>
      </c>
      <c r="D31" s="35">
        <f ca="1" t="shared" si="2"/>
        <v>-0.0026353996346453325</v>
      </c>
      <c r="E31" s="35">
        <v>-0.002837529750834662</v>
      </c>
      <c r="F31" s="35">
        <f t="shared" si="3"/>
        <v>0.023384958192414096</v>
      </c>
      <c r="G31" s="35">
        <f t="shared" si="4"/>
        <v>0.026933669064782926</v>
      </c>
      <c r="H31">
        <f t="shared" si="5"/>
        <v>1.2593348855668743E-05</v>
      </c>
    </row>
    <row r="32" spans="1:8" ht="12.75">
      <c r="A32">
        <v>20</v>
      </c>
      <c r="B32">
        <f t="shared" si="0"/>
        <v>1.6666666666666665</v>
      </c>
      <c r="C32">
        <f t="shared" si="1"/>
        <v>0.02622248794324876</v>
      </c>
      <c r="D32" s="35">
        <f ca="1" t="shared" si="2"/>
        <v>0.0018666792705156142</v>
      </c>
      <c r="E32" s="35">
        <v>0.003900859410520594</v>
      </c>
      <c r="F32" s="35">
        <f t="shared" si="3"/>
        <v>0.030123347353769352</v>
      </c>
      <c r="G32" s="35">
        <f t="shared" si="4"/>
        <v>0.026933669064782926</v>
      </c>
      <c r="H32">
        <f t="shared" si="5"/>
        <v>1.0174047587231377E-05</v>
      </c>
    </row>
    <row r="33" spans="1:8" ht="12.75">
      <c r="A33">
        <v>20</v>
      </c>
      <c r="B33">
        <f t="shared" si="0"/>
        <v>1.6666666666666665</v>
      </c>
      <c r="C33">
        <f t="shared" si="1"/>
        <v>0.02622248794324876</v>
      </c>
      <c r="D33" s="35">
        <f ca="1" t="shared" si="2"/>
        <v>-0.0032738148034122806</v>
      </c>
      <c r="E33" s="35">
        <v>0.0015590315064491912</v>
      </c>
      <c r="F33" s="35">
        <f t="shared" si="3"/>
        <v>0.02778151944969795</v>
      </c>
      <c r="G33" s="35">
        <f t="shared" si="4"/>
        <v>0.026933669064782926</v>
      </c>
      <c r="H33">
        <f t="shared" si="5"/>
        <v>7.188502752005546E-07</v>
      </c>
    </row>
    <row r="34" spans="1:8" ht="12.75">
      <c r="A34">
        <v>20</v>
      </c>
      <c r="B34">
        <f t="shared" si="0"/>
        <v>1.6666666666666665</v>
      </c>
      <c r="C34">
        <f t="shared" si="1"/>
        <v>0.02622248794324876</v>
      </c>
      <c r="D34" s="35">
        <f ca="1" t="shared" si="2"/>
        <v>0.0013649833101353637</v>
      </c>
      <c r="E34" s="35">
        <v>-0.0006650156350296999</v>
      </c>
      <c r="F34" s="35">
        <f t="shared" si="3"/>
        <v>0.02555747230821906</v>
      </c>
      <c r="G34" s="35">
        <f t="shared" si="4"/>
        <v>0.026933669064782926</v>
      </c>
      <c r="H34">
        <f t="shared" si="5"/>
        <v>1.8939175127769069E-06</v>
      </c>
    </row>
    <row r="35" spans="1:8" ht="12.75">
      <c r="A35">
        <v>20</v>
      </c>
      <c r="B35">
        <f t="shared" si="0"/>
        <v>1.6666666666666665</v>
      </c>
      <c r="C35">
        <f t="shared" si="1"/>
        <v>0.02622248794324876</v>
      </c>
      <c r="D35" s="35">
        <f ca="1" t="shared" si="2"/>
        <v>-0.0013088508752966588</v>
      </c>
      <c r="E35" s="35">
        <v>-0.0022508185724479037</v>
      </c>
      <c r="F35" s="35">
        <f t="shared" si="3"/>
        <v>0.023971669370800856</v>
      </c>
      <c r="G35" s="35">
        <f t="shared" si="4"/>
        <v>0.026933669064782926</v>
      </c>
      <c r="H35">
        <f t="shared" si="5"/>
        <v>8.773442187149874E-06</v>
      </c>
    </row>
    <row r="36" spans="1:8" ht="12.75">
      <c r="A36">
        <v>20</v>
      </c>
      <c r="B36">
        <f t="shared" si="0"/>
        <v>1.6666666666666665</v>
      </c>
      <c r="C36">
        <f t="shared" si="1"/>
        <v>0.02622248794324876</v>
      </c>
      <c r="D36" s="35">
        <f ca="1" t="shared" si="2"/>
        <v>0.0004445919033285639</v>
      </c>
      <c r="E36" s="35">
        <v>0.0007006553534813697</v>
      </c>
      <c r="F36" s="35">
        <f t="shared" si="3"/>
        <v>0.02692314329673013</v>
      </c>
      <c r="G36" s="35">
        <f t="shared" si="4"/>
        <v>0.026933669064782926</v>
      </c>
      <c r="H36">
        <f t="shared" si="5"/>
        <v>1.107917931012564E-10</v>
      </c>
    </row>
    <row r="37" spans="1:8" ht="12.75">
      <c r="A37">
        <v>24</v>
      </c>
      <c r="B37">
        <f t="shared" si="0"/>
        <v>2</v>
      </c>
      <c r="C37">
        <f t="shared" si="1"/>
        <v>0.027293294335267747</v>
      </c>
      <c r="D37" s="35">
        <f ca="1" t="shared" si="2"/>
        <v>0.004629800657968086</v>
      </c>
      <c r="E37" s="35">
        <v>0.0029586693854137236</v>
      </c>
      <c r="F37" s="35">
        <f t="shared" si="3"/>
        <v>0.03025196372068147</v>
      </c>
      <c r="G37" s="35">
        <f t="shared" si="4"/>
        <v>0.028264371109871643</v>
      </c>
      <c r="H37">
        <f t="shared" si="5"/>
        <v>3.950524386545821E-06</v>
      </c>
    </row>
    <row r="38" spans="1:8" ht="12.75">
      <c r="A38">
        <v>25</v>
      </c>
      <c r="B38">
        <f t="shared" si="0"/>
        <v>2.083333333333333</v>
      </c>
      <c r="C38">
        <f t="shared" si="1"/>
        <v>0.02750971057111754</v>
      </c>
      <c r="D38" s="35">
        <f ca="1" t="shared" si="2"/>
        <v>0.0032488598250109656</v>
      </c>
      <c r="E38" s="35">
        <v>0.003950165870171929</v>
      </c>
      <c r="F38" s="35">
        <f t="shared" si="3"/>
        <v>0.03145987644128947</v>
      </c>
      <c r="G38" s="35">
        <f t="shared" si="4"/>
        <v>0.028493450641182215</v>
      </c>
      <c r="H38">
        <f t="shared" si="5"/>
        <v>8.799682027541956E-06</v>
      </c>
    </row>
    <row r="39" spans="1:8" ht="12.75">
      <c r="A39">
        <v>26</v>
      </c>
      <c r="B39">
        <f t="shared" si="0"/>
        <v>2.1666666666666665</v>
      </c>
      <c r="C39">
        <f t="shared" si="1"/>
        <v>0.027708823120146248</v>
      </c>
      <c r="D39" s="35">
        <f ca="1" t="shared" si="2"/>
        <v>-0.002353005541659581</v>
      </c>
      <c r="E39" s="35">
        <v>0.000998637269357987</v>
      </c>
      <c r="F39" s="35">
        <f aca="true" t="shared" si="6" ref="F39:F63">C39+E39</f>
        <v>0.028707460389504235</v>
      </c>
      <c r="G39" s="35">
        <f t="shared" si="4"/>
        <v>0.02868295363778352</v>
      </c>
      <c r="H39">
        <f t="shared" si="5"/>
        <v>6.005808799007177E-10</v>
      </c>
    </row>
    <row r="40" spans="1:8" ht="12.75">
      <c r="A40">
        <v>27</v>
      </c>
      <c r="B40">
        <f t="shared" si="0"/>
        <v>2.25</v>
      </c>
      <c r="C40">
        <f t="shared" si="1"/>
        <v>0.02789201550876271</v>
      </c>
      <c r="D40" s="35">
        <f ca="1" t="shared" si="2"/>
        <v>-0.004646435751469395</v>
      </c>
      <c r="E40" s="35">
        <v>0.0037661509728933494</v>
      </c>
      <c r="F40" s="35">
        <f t="shared" si="6"/>
        <v>0.031658166481656064</v>
      </c>
      <c r="G40" s="35">
        <f t="shared" si="4"/>
        <v>0.02883381102831325</v>
      </c>
      <c r="H40">
        <f t="shared" si="5"/>
        <v>7.9769837268273E-06</v>
      </c>
    </row>
    <row r="41" spans="1:8" ht="12.75">
      <c r="A41">
        <v>28</v>
      </c>
      <c r="B41">
        <f t="shared" si="0"/>
        <v>2.333333333333333</v>
      </c>
      <c r="C41">
        <f t="shared" si="1"/>
        <v>0.028060560642711896</v>
      </c>
      <c r="D41" s="35">
        <f ca="1" t="shared" si="2"/>
        <v>0.002298367075724421</v>
      </c>
      <c r="E41" s="35">
        <v>0.0025592229714589275</v>
      </c>
      <c r="F41" s="35">
        <f t="shared" si="6"/>
        <v>0.030619783614170823</v>
      </c>
      <c r="G41" s="35">
        <f t="shared" si="4"/>
        <v>0.028946953741409088</v>
      </c>
      <c r="H41">
        <f t="shared" si="5"/>
        <v>2.7983597832040427E-06</v>
      </c>
    </row>
    <row r="42" spans="1:8" ht="12.75">
      <c r="A42">
        <v>29</v>
      </c>
      <c r="B42">
        <f t="shared" si="0"/>
        <v>2.4166666666666665</v>
      </c>
      <c r="C42">
        <f t="shared" si="1"/>
        <v>0.028215629651814796</v>
      </c>
      <c r="D42" s="35">
        <f ca="1" t="shared" si="2"/>
        <v>0.0022860103841838876</v>
      </c>
      <c r="E42" s="35">
        <v>-0.00024317122583385144</v>
      </c>
      <c r="F42" s="35">
        <f t="shared" si="6"/>
        <v>0.027972458425980944</v>
      </c>
      <c r="G42" s="35">
        <f t="shared" si="4"/>
        <v>0.02902331270570873</v>
      </c>
      <c r="H42">
        <f t="shared" si="5"/>
        <v>1.1042947172222049E-06</v>
      </c>
    </row>
    <row r="43" spans="1:8" ht="12.75">
      <c r="A43">
        <v>30</v>
      </c>
      <c r="B43">
        <f t="shared" si="0"/>
        <v>2.5</v>
      </c>
      <c r="C43">
        <f t="shared" si="1"/>
        <v>0.028358300027522022</v>
      </c>
      <c r="D43" s="35">
        <f ca="1" t="shared" si="2"/>
        <v>-0.0004442159625672026</v>
      </c>
      <c r="E43" s="35">
        <v>0.004479749873360472</v>
      </c>
      <c r="F43" s="35">
        <f t="shared" si="6"/>
        <v>0.032838049900882495</v>
      </c>
      <c r="G43" s="35">
        <f t="shared" si="4"/>
        <v>0.029063818849849855</v>
      </c>
      <c r="H43">
        <f t="shared" si="5"/>
        <v>1.4244820026578941E-05</v>
      </c>
    </row>
    <row r="44" spans="1:8" ht="12.75">
      <c r="A44">
        <v>30</v>
      </c>
      <c r="B44">
        <f t="shared" si="0"/>
        <v>2.5</v>
      </c>
      <c r="C44">
        <f t="shared" si="1"/>
        <v>0.028358300027522022</v>
      </c>
      <c r="D44" s="35">
        <f ca="1" t="shared" si="2"/>
        <v>0.0006391561960061409</v>
      </c>
      <c r="E44" s="35">
        <v>-0.0039898373675861</v>
      </c>
      <c r="F44" s="35">
        <f t="shared" si="6"/>
        <v>0.024368462659935922</v>
      </c>
      <c r="G44" s="35">
        <f t="shared" si="4"/>
        <v>0.029063818849849855</v>
      </c>
      <c r="H44">
        <f t="shared" si="5"/>
        <v>2.2046369750163086E-05</v>
      </c>
    </row>
    <row r="45" spans="1:8" ht="12.75">
      <c r="A45">
        <v>30</v>
      </c>
      <c r="B45">
        <f t="shared" si="0"/>
        <v>2.5</v>
      </c>
      <c r="C45">
        <f t="shared" si="1"/>
        <v>0.028358300027522022</v>
      </c>
      <c r="D45" s="35">
        <f ca="1" t="shared" si="2"/>
        <v>0.003336648326163598</v>
      </c>
      <c r="E45" s="35">
        <v>-0.0049020245711857945</v>
      </c>
      <c r="F45" s="35">
        <f t="shared" si="6"/>
        <v>0.023456275456336228</v>
      </c>
      <c r="G45" s="35">
        <f t="shared" si="4"/>
        <v>0.029063818849849855</v>
      </c>
      <c r="H45">
        <f t="shared" si="5"/>
        <v>3.144454291013833E-05</v>
      </c>
    </row>
    <row r="46" spans="1:8" ht="12.75">
      <c r="A46">
        <v>30</v>
      </c>
      <c r="B46">
        <f t="shared" si="0"/>
        <v>2.5</v>
      </c>
      <c r="C46">
        <f t="shared" si="1"/>
        <v>0.028358300027522022</v>
      </c>
      <c r="D46" s="35">
        <f ca="1" t="shared" si="2"/>
        <v>-0.0006276014651977002</v>
      </c>
      <c r="E46" s="35">
        <v>0.003118548342893641</v>
      </c>
      <c r="F46" s="35">
        <f t="shared" si="6"/>
        <v>0.031476848370415665</v>
      </c>
      <c r="G46" s="35">
        <f t="shared" si="4"/>
        <v>0.029063818849849855</v>
      </c>
      <c r="H46">
        <f t="shared" si="5"/>
        <v>5.822711467122062E-06</v>
      </c>
    </row>
    <row r="47" spans="1:8" ht="12.75">
      <c r="A47">
        <v>30</v>
      </c>
      <c r="B47">
        <f t="shared" si="0"/>
        <v>2.5</v>
      </c>
      <c r="C47">
        <f t="shared" si="1"/>
        <v>0.028358300027522022</v>
      </c>
      <c r="D47" s="35">
        <f ca="1" t="shared" si="2"/>
        <v>-0.003916065790254857</v>
      </c>
      <c r="E47" s="35">
        <v>-0.0005501735110313177</v>
      </c>
      <c r="F47" s="35">
        <f t="shared" si="6"/>
        <v>0.027808126516490703</v>
      </c>
      <c r="G47" s="35">
        <f t="shared" si="4"/>
        <v>0.029063818849849855</v>
      </c>
      <c r="H47">
        <f t="shared" si="5"/>
        <v>1.5767632360569517E-06</v>
      </c>
    </row>
    <row r="48" spans="1:8" ht="12.75">
      <c r="A48">
        <v>30</v>
      </c>
      <c r="B48">
        <f t="shared" si="0"/>
        <v>2.5</v>
      </c>
      <c r="C48">
        <f t="shared" si="1"/>
        <v>0.028358300027522022</v>
      </c>
      <c r="D48" s="35">
        <f ca="1" t="shared" si="2"/>
        <v>0.0002078817162108404</v>
      </c>
      <c r="E48" s="35">
        <v>0.0015984026602154965</v>
      </c>
      <c r="F48" s="35">
        <f t="shared" si="6"/>
        <v>0.029956702687737518</v>
      </c>
      <c r="G48" s="35">
        <f t="shared" si="4"/>
        <v>0.029063818849849855</v>
      </c>
      <c r="H48">
        <f t="shared" si="5"/>
        <v>7.972415479610018E-07</v>
      </c>
    </row>
    <row r="49" spans="1:8" ht="12.75">
      <c r="A49">
        <v>30</v>
      </c>
      <c r="B49">
        <f t="shared" si="0"/>
        <v>2.5</v>
      </c>
      <c r="C49">
        <f t="shared" si="1"/>
        <v>0.028358300027522022</v>
      </c>
      <c r="D49" s="35">
        <f ca="1" t="shared" si="2"/>
        <v>-0.0028103550178555435</v>
      </c>
      <c r="E49" s="35">
        <v>0.0034404989879048232</v>
      </c>
      <c r="F49" s="35">
        <f t="shared" si="6"/>
        <v>0.03179879901542684</v>
      </c>
      <c r="G49" s="35">
        <f t="shared" si="4"/>
        <v>0.029063818849849855</v>
      </c>
      <c r="H49">
        <f t="shared" si="5"/>
        <v>7.4801165060995265E-06</v>
      </c>
    </row>
    <row r="50" spans="1:8" ht="12.75">
      <c r="A50">
        <v>37</v>
      </c>
      <c r="B50">
        <f t="shared" si="0"/>
        <v>3.083333333333333</v>
      </c>
      <c r="C50">
        <f t="shared" si="1"/>
        <v>0.029083873716547567</v>
      </c>
      <c r="D50" s="35">
        <f ca="1" t="shared" si="2"/>
        <v>-0.002098506207985622</v>
      </c>
      <c r="E50" s="35">
        <v>-0.0024962097218441982</v>
      </c>
      <c r="F50" s="35">
        <f t="shared" si="6"/>
        <v>0.02658766399470337</v>
      </c>
      <c r="G50" s="35">
        <f t="shared" si="4"/>
        <v>0.02842274391678866</v>
      </c>
      <c r="H50">
        <f t="shared" si="5"/>
        <v>3.3675183204405536E-06</v>
      </c>
    </row>
    <row r="51" spans="1:8" ht="12.75">
      <c r="A51">
        <v>38</v>
      </c>
      <c r="B51">
        <f t="shared" si="0"/>
        <v>3.1666666666666665</v>
      </c>
      <c r="C51">
        <f t="shared" si="1"/>
        <v>0.029157123129814472</v>
      </c>
      <c r="D51" s="35">
        <f ca="1" t="shared" si="2"/>
        <v>-0.00024401573304100977</v>
      </c>
      <c r="E51" s="35">
        <v>0.003278355837687719</v>
      </c>
      <c r="F51" s="35">
        <f t="shared" si="6"/>
        <v>0.03243547896750219</v>
      </c>
      <c r="G51" s="35">
        <f t="shared" si="4"/>
        <v>0.028217382048382266</v>
      </c>
      <c r="H51">
        <f t="shared" si="5"/>
        <v>1.779234161908902E-05</v>
      </c>
    </row>
    <row r="52" spans="1:8" ht="12.75">
      <c r="A52">
        <v>39</v>
      </c>
      <c r="B52">
        <f t="shared" si="0"/>
        <v>3.25</v>
      </c>
      <c r="C52">
        <f t="shared" si="1"/>
        <v>0.029224515843365557</v>
      </c>
      <c r="D52" s="35">
        <f ca="1" t="shared" si="2"/>
        <v>-0.003352603004274344</v>
      </c>
      <c r="E52" s="35">
        <v>-0.002741235716734611</v>
      </c>
      <c r="F52" s="35">
        <f t="shared" si="6"/>
        <v>0.026483280126630947</v>
      </c>
      <c r="G52" s="35">
        <f t="shared" si="4"/>
        <v>0.02799730191943737</v>
      </c>
      <c r="H52">
        <f t="shared" si="5"/>
        <v>2.2922619890927723E-06</v>
      </c>
    </row>
    <row r="53" spans="1:8" ht="12.75">
      <c r="A53">
        <v>40</v>
      </c>
      <c r="B53">
        <f t="shared" si="0"/>
        <v>3.333333333333333</v>
      </c>
      <c r="C53">
        <f t="shared" si="1"/>
        <v>0.029286520133054952</v>
      </c>
      <c r="D53" s="35">
        <f ca="1" t="shared" si="2"/>
        <v>-0.003244288528668884</v>
      </c>
      <c r="E53" s="35">
        <v>0.000724930083674975</v>
      </c>
      <c r="F53" s="35">
        <f t="shared" si="6"/>
        <v>0.030011450216729928</v>
      </c>
      <c r="G53" s="35">
        <f t="shared" si="4"/>
        <v>0.02776981255953204</v>
      </c>
      <c r="H53">
        <f t="shared" si="5"/>
        <v>5.024939386167634E-06</v>
      </c>
    </row>
    <row r="54" spans="1:8" ht="12.75">
      <c r="A54">
        <v>40</v>
      </c>
      <c r="B54">
        <f t="shared" si="0"/>
        <v>3.333333333333333</v>
      </c>
      <c r="C54">
        <f t="shared" si="1"/>
        <v>0.029286520133054952</v>
      </c>
      <c r="D54" s="35">
        <f ca="1" t="shared" si="2"/>
        <v>0.001757397999940109</v>
      </c>
      <c r="E54" s="35">
        <v>-0.003923559473874132</v>
      </c>
      <c r="F54" s="35">
        <f t="shared" si="6"/>
        <v>0.02536296065918082</v>
      </c>
      <c r="G54" s="35">
        <f t="shared" si="4"/>
        <v>0.02776981255953204</v>
      </c>
      <c r="H54">
        <f t="shared" si="5"/>
        <v>5.792936070224273E-06</v>
      </c>
    </row>
    <row r="55" spans="1:8" ht="12.75">
      <c r="A55">
        <v>40</v>
      </c>
      <c r="B55">
        <f t="shared" si="0"/>
        <v>3.333333333333333</v>
      </c>
      <c r="C55">
        <f t="shared" si="1"/>
        <v>0.029286520133054952</v>
      </c>
      <c r="D55" s="35">
        <f ca="1" t="shared" si="2"/>
        <v>-0.002961031995846044</v>
      </c>
      <c r="E55" s="35">
        <v>-0.00449729842461064</v>
      </c>
      <c r="F55" s="35">
        <f t="shared" si="6"/>
        <v>0.02478922170844431</v>
      </c>
      <c r="G55" s="35">
        <f t="shared" si="4"/>
        <v>0.02776981255953204</v>
      </c>
      <c r="H55">
        <f t="shared" si="5"/>
        <v>8.883921821587878E-06</v>
      </c>
    </row>
    <row r="56" spans="1:8" ht="12.75">
      <c r="A56">
        <v>40</v>
      </c>
      <c r="B56">
        <f t="shared" si="0"/>
        <v>3.333333333333333</v>
      </c>
      <c r="C56">
        <f t="shared" si="1"/>
        <v>0.029286520133054952</v>
      </c>
      <c r="D56" s="35">
        <f ca="1" t="shared" si="2"/>
        <v>-0.00023082556864435056</v>
      </c>
      <c r="E56" s="35">
        <v>0.0008579959984019259</v>
      </c>
      <c r="F56" s="35">
        <f t="shared" si="6"/>
        <v>0.03014451613145688</v>
      </c>
      <c r="G56" s="35">
        <f t="shared" si="4"/>
        <v>0.02776981255953204</v>
      </c>
      <c r="H56">
        <f t="shared" si="5"/>
        <v>5.6392170545125925E-06</v>
      </c>
    </row>
    <row r="57" spans="1:8" ht="12.75">
      <c r="A57">
        <v>44</v>
      </c>
      <c r="B57">
        <f t="shared" si="0"/>
        <v>3.6666666666666665</v>
      </c>
      <c r="C57">
        <f t="shared" si="1"/>
        <v>0.02948876933586985</v>
      </c>
      <c r="D57" s="35">
        <f ca="1" t="shared" si="2"/>
        <v>0.0011958490828468803</v>
      </c>
      <c r="E57" s="35">
        <v>-0.004824355344770858</v>
      </c>
      <c r="F57" s="35">
        <f t="shared" si="6"/>
        <v>0.02466441399109899</v>
      </c>
      <c r="G57" s="35">
        <f t="shared" si="4"/>
        <v>0.026931943401868084</v>
      </c>
      <c r="H57">
        <f t="shared" si="5"/>
        <v>5.141689628702831E-06</v>
      </c>
    </row>
    <row r="58" spans="1:8" ht="12.75">
      <c r="A58">
        <v>45</v>
      </c>
      <c r="B58">
        <f t="shared" si="0"/>
        <v>3.75</v>
      </c>
      <c r="C58">
        <f t="shared" si="1"/>
        <v>0.029529645082879818</v>
      </c>
      <c r="D58" s="35">
        <f ca="1" t="shared" si="2"/>
        <v>0.00034860151555524686</v>
      </c>
      <c r="E58" s="35">
        <v>-0.00496615807890211</v>
      </c>
      <c r="F58" s="35">
        <f t="shared" si="6"/>
        <v>0.02456348700397771</v>
      </c>
      <c r="G58" s="35">
        <f t="shared" si="4"/>
        <v>0.026777043330831883</v>
      </c>
      <c r="H58">
        <f t="shared" si="5"/>
        <v>4.899831612156144E-06</v>
      </c>
    </row>
    <row r="59" spans="1:8" ht="12.75">
      <c r="A59">
        <v>46</v>
      </c>
      <c r="B59">
        <f t="shared" si="0"/>
        <v>3.833333333333333</v>
      </c>
      <c r="C59">
        <f t="shared" si="1"/>
        <v>0.02956725258561014</v>
      </c>
      <c r="D59" s="35">
        <f ca="1" t="shared" si="2"/>
        <v>0.004258761868863881</v>
      </c>
      <c r="E59" s="35">
        <v>0.001474529325871252</v>
      </c>
      <c r="F59" s="35">
        <f t="shared" si="6"/>
        <v>0.03104178191148139</v>
      </c>
      <c r="G59" s="35">
        <f t="shared" si="4"/>
        <v>0.026658588206303742</v>
      </c>
      <c r="H59">
        <f t="shared" si="5"/>
        <v>1.921238705710897E-05</v>
      </c>
    </row>
    <row r="60" spans="1:8" ht="12.75">
      <c r="A60">
        <v>47</v>
      </c>
      <c r="B60">
        <f t="shared" si="0"/>
        <v>3.9166666666666665</v>
      </c>
      <c r="C60">
        <f t="shared" si="1"/>
        <v>0.029601853158445324</v>
      </c>
      <c r="D60" s="35">
        <f ca="1" t="shared" si="2"/>
        <v>-0.0011016683587983956</v>
      </c>
      <c r="E60" s="35">
        <v>-0.003852853966182019</v>
      </c>
      <c r="F60" s="35">
        <f t="shared" si="6"/>
        <v>0.025748999192263304</v>
      </c>
      <c r="G60" s="35">
        <f t="shared" si="4"/>
        <v>0.02658388705786179</v>
      </c>
      <c r="H60">
        <f t="shared" si="5"/>
        <v>6.970377481235934E-07</v>
      </c>
    </row>
    <row r="61" spans="1:8" ht="12.75">
      <c r="A61">
        <v>50</v>
      </c>
      <c r="B61">
        <f t="shared" si="0"/>
        <v>4.166666666666666</v>
      </c>
      <c r="C61">
        <f t="shared" si="1"/>
        <v>0.02968992292801981</v>
      </c>
      <c r="D61" s="35">
        <f ca="1" t="shared" si="2"/>
        <v>0.0009968205025402542</v>
      </c>
      <c r="E61" s="35">
        <v>-0.0027640984712904793</v>
      </c>
      <c r="F61" s="35">
        <f t="shared" si="6"/>
        <v>0.026925824456729332</v>
      </c>
      <c r="G61" s="35">
        <f t="shared" si="4"/>
        <v>0.0266953977648338</v>
      </c>
      <c r="H61">
        <f t="shared" si="5"/>
        <v>5.309646033791879E-08</v>
      </c>
    </row>
    <row r="62" spans="1:8" ht="12.75">
      <c r="A62">
        <v>60</v>
      </c>
      <c r="B62">
        <f t="shared" si="0"/>
        <v>5</v>
      </c>
      <c r="C62">
        <f t="shared" si="1"/>
        <v>0.02986524106001829</v>
      </c>
      <c r="D62" s="35">
        <f ca="1" t="shared" si="2"/>
        <v>-0.002690768660488132</v>
      </c>
      <c r="E62" s="35">
        <v>0.0027610370049684385</v>
      </c>
      <c r="F62" s="35">
        <f t="shared" si="6"/>
        <v>0.032626278064986726</v>
      </c>
      <c r="G62" s="35">
        <f t="shared" si="4"/>
        <v>0.03291999240998705</v>
      </c>
      <c r="H62">
        <f t="shared" si="5"/>
        <v>8.626811645897134E-08</v>
      </c>
    </row>
    <row r="63" spans="1:8" ht="12.75">
      <c r="A63">
        <v>60</v>
      </c>
      <c r="B63">
        <f t="shared" si="0"/>
        <v>5</v>
      </c>
      <c r="C63">
        <f t="shared" si="1"/>
        <v>0.02986524106001829</v>
      </c>
      <c r="D63" s="35">
        <f ca="1" t="shared" si="2"/>
        <v>0.0024475608158068506</v>
      </c>
      <c r="E63" s="35">
        <v>0.0033339046547167196</v>
      </c>
      <c r="F63" s="35">
        <f t="shared" si="6"/>
        <v>0.03319914571473501</v>
      </c>
      <c r="G63" s="35">
        <f t="shared" si="4"/>
        <v>0.03291999240998705</v>
      </c>
      <c r="H63">
        <f t="shared" si="5"/>
        <v>7.792656755170368E-08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AT31"/>
  <sheetViews>
    <sheetView workbookViewId="0" topLeftCell="A1">
      <selection activeCell="A5" sqref="A5"/>
    </sheetView>
  </sheetViews>
  <sheetFormatPr defaultColWidth="11.421875" defaultRowHeight="12.75"/>
  <cols>
    <col min="1" max="28" width="11.421875" style="79" customWidth="1"/>
    <col min="29" max="29" width="12.7109375" style="79" bestFit="1" customWidth="1"/>
    <col min="30" max="16384" width="11.421875" style="79" customWidth="1"/>
  </cols>
  <sheetData>
    <row r="1" spans="1:46" ht="12.75">
      <c r="A1" s="120"/>
      <c r="B1" s="120"/>
      <c r="C1" s="120"/>
      <c r="D1" s="120"/>
      <c r="E1" s="123" t="s">
        <v>45</v>
      </c>
      <c r="F1" s="123"/>
      <c r="G1" s="123"/>
      <c r="H1" s="123"/>
      <c r="I1" s="123"/>
      <c r="J1" s="120" t="s">
        <v>44</v>
      </c>
      <c r="K1" s="120"/>
      <c r="L1" s="120"/>
      <c r="M1" s="120"/>
      <c r="N1" s="120"/>
      <c r="O1" s="122"/>
      <c r="P1" s="120" t="str">
        <f>"Diskontfaktor "&amp;O4</f>
        <v>Diskontfaktor 30E/360</v>
      </c>
      <c r="Q1" s="120"/>
      <c r="R1" s="120"/>
      <c r="S1" s="120"/>
      <c r="T1" s="122"/>
      <c r="U1" s="120" t="str">
        <f>"Diskontfaktor "&amp;T4</f>
        <v>Diskontfaktor act/act</v>
      </c>
      <c r="V1" s="120"/>
      <c r="W1" s="120"/>
      <c r="X1" s="120"/>
      <c r="Y1" s="128" t="s">
        <v>222</v>
      </c>
      <c r="Z1" s="128"/>
      <c r="AA1" s="128"/>
      <c r="AB1" s="128"/>
      <c r="AC1" s="122" t="str">
        <f>O4</f>
        <v>30E/360</v>
      </c>
      <c r="AD1" s="120" t="s">
        <v>125</v>
      </c>
      <c r="AE1" s="120"/>
      <c r="AF1" s="120"/>
      <c r="AG1" s="122" t="str">
        <f>T4</f>
        <v>act/act</v>
      </c>
      <c r="AH1" s="120" t="s">
        <v>125</v>
      </c>
      <c r="AI1" s="120"/>
      <c r="AJ1" s="120"/>
      <c r="AK1" s="128" t="s">
        <v>225</v>
      </c>
      <c r="AL1" s="128"/>
      <c r="AM1" s="128"/>
      <c r="AN1" s="123" t="s">
        <v>224</v>
      </c>
      <c r="AO1" s="123"/>
      <c r="AP1" s="121" t="s">
        <v>126</v>
      </c>
      <c r="AQ1" s="120" t="s">
        <v>127</v>
      </c>
      <c r="AR1" s="120"/>
      <c r="AS1" s="120"/>
      <c r="AT1" s="120"/>
    </row>
    <row r="2" spans="1:46" ht="12.75">
      <c r="A2" s="120"/>
      <c r="B2" s="120"/>
      <c r="C2" s="120"/>
      <c r="D2" s="120"/>
      <c r="E2" s="123"/>
      <c r="F2" s="129" t="s">
        <v>132</v>
      </c>
      <c r="G2" s="129"/>
      <c r="H2" s="123"/>
      <c r="I2" s="129" t="s">
        <v>131</v>
      </c>
      <c r="J2" s="120"/>
      <c r="K2" s="120" t="s">
        <v>39</v>
      </c>
      <c r="L2" s="120"/>
      <c r="M2" s="120"/>
      <c r="N2" s="120"/>
      <c r="O2" s="123" t="s">
        <v>104</v>
      </c>
      <c r="P2" s="120" t="s">
        <v>47</v>
      </c>
      <c r="Q2" s="120"/>
      <c r="R2" s="120"/>
      <c r="S2" s="120"/>
      <c r="T2" s="123" t="s">
        <v>104</v>
      </c>
      <c r="U2" s="120" t="s">
        <v>47</v>
      </c>
      <c r="V2" s="120"/>
      <c r="W2" s="120"/>
      <c r="X2" s="120"/>
      <c r="Y2" s="128" t="str">
        <f>O4&amp;" "&amp;T4</f>
        <v>30E/360 act/act</v>
      </c>
      <c r="Z2" s="128"/>
      <c r="AA2" s="128"/>
      <c r="AB2" s="128"/>
      <c r="AC2" s="123" t="s">
        <v>96</v>
      </c>
      <c r="AD2" s="120" t="s">
        <v>2</v>
      </c>
      <c r="AE2" s="120"/>
      <c r="AF2" s="120"/>
      <c r="AG2" s="123" t="s">
        <v>96</v>
      </c>
      <c r="AH2" s="120" t="s">
        <v>2</v>
      </c>
      <c r="AI2" s="120"/>
      <c r="AJ2" s="120"/>
      <c r="AK2" s="128" t="str">
        <f>Y2</f>
        <v>30E/360 act/act</v>
      </c>
      <c r="AL2" s="128"/>
      <c r="AM2" s="128"/>
      <c r="AN2" s="122" t="str">
        <f>AC1</f>
        <v>30E/360</v>
      </c>
      <c r="AO2" s="123"/>
      <c r="AP2" s="121" t="s">
        <v>105</v>
      </c>
      <c r="AQ2" s="120"/>
      <c r="AR2" s="120"/>
      <c r="AS2" s="120"/>
      <c r="AT2" s="120"/>
    </row>
    <row r="3" spans="1:46" ht="12.75">
      <c r="A3" s="120" t="s">
        <v>124</v>
      </c>
      <c r="B3" s="120"/>
      <c r="C3" s="120" t="s">
        <v>51</v>
      </c>
      <c r="D3" s="120"/>
      <c r="E3" s="123" t="s">
        <v>130</v>
      </c>
      <c r="F3" s="123" t="s">
        <v>46</v>
      </c>
      <c r="G3" s="123" t="s">
        <v>41</v>
      </c>
      <c r="H3" s="123"/>
      <c r="I3" s="123" t="s">
        <v>129</v>
      </c>
      <c r="J3" s="120" t="s">
        <v>38</v>
      </c>
      <c r="K3" s="120" t="s">
        <v>46</v>
      </c>
      <c r="L3" s="120" t="s">
        <v>41</v>
      </c>
      <c r="M3" s="120"/>
      <c r="N3" s="120"/>
      <c r="O3" s="123" t="s">
        <v>0</v>
      </c>
      <c r="P3" s="120"/>
      <c r="Q3" s="120"/>
      <c r="R3" s="120"/>
      <c r="S3" s="120"/>
      <c r="T3" s="123" t="s">
        <v>1</v>
      </c>
      <c r="U3" s="120"/>
      <c r="V3" s="120"/>
      <c r="W3" s="120"/>
      <c r="X3" s="120"/>
      <c r="Y3" s="128"/>
      <c r="Z3" s="128"/>
      <c r="AA3" s="128"/>
      <c r="AB3" s="128"/>
      <c r="AC3" s="123" t="s">
        <v>54</v>
      </c>
      <c r="AD3" s="120" t="s">
        <v>0</v>
      </c>
      <c r="AE3" s="120"/>
      <c r="AF3" s="120"/>
      <c r="AG3" s="123" t="s">
        <v>54</v>
      </c>
      <c r="AH3" s="120" t="s">
        <v>1</v>
      </c>
      <c r="AI3" s="120"/>
      <c r="AJ3" s="120"/>
      <c r="AK3" s="128"/>
      <c r="AL3" s="128"/>
      <c r="AM3" s="128"/>
      <c r="AN3" s="123"/>
      <c r="AO3" s="123"/>
      <c r="AP3" s="121" t="s">
        <v>107</v>
      </c>
      <c r="AQ3" s="120"/>
      <c r="AR3" s="120"/>
      <c r="AS3" s="120"/>
      <c r="AT3" s="120"/>
    </row>
    <row r="4" spans="1:46" ht="12.75">
      <c r="A4" s="120" t="s">
        <v>123</v>
      </c>
      <c r="B4" s="120" t="s">
        <v>122</v>
      </c>
      <c r="C4" s="120" t="s">
        <v>17</v>
      </c>
      <c r="D4" s="120" t="s">
        <v>44</v>
      </c>
      <c r="E4" s="123" t="s">
        <v>53</v>
      </c>
      <c r="F4" s="123" t="s">
        <v>52</v>
      </c>
      <c r="G4" s="123" t="s">
        <v>40</v>
      </c>
      <c r="H4" s="123" t="s">
        <v>42</v>
      </c>
      <c r="I4" s="123" t="s">
        <v>43</v>
      </c>
      <c r="J4" s="120" t="str">
        <f>E4</f>
        <v>Act/365f</v>
      </c>
      <c r="K4" s="120" t="str">
        <f>F4</f>
        <v>Act/360</v>
      </c>
      <c r="L4" s="120" t="str">
        <f>G4</f>
        <v>30/360</v>
      </c>
      <c r="M4" s="120" t="str">
        <f>H4</f>
        <v>30E/360</v>
      </c>
      <c r="N4" s="120" t="str">
        <f>I4</f>
        <v>Act/Act</v>
      </c>
      <c r="O4" s="124" t="s">
        <v>42</v>
      </c>
      <c r="P4" s="120" t="str">
        <f>"stetig "&amp;O4</f>
        <v>stetig 30E/360</v>
      </c>
      <c r="Q4" s="120" t="str">
        <f>"diskret "&amp;O4</f>
        <v>diskret 30E/360</v>
      </c>
      <c r="R4" s="120" t="str">
        <f>"einfach "&amp;O4</f>
        <v>einfach 30E/360</v>
      </c>
      <c r="S4" s="120" t="str">
        <f>"gemischt "&amp;O4</f>
        <v>gemischt 30E/360</v>
      </c>
      <c r="T4" s="124" t="s">
        <v>128</v>
      </c>
      <c r="U4" s="120" t="str">
        <f>"stetig "&amp;T4</f>
        <v>stetig act/act</v>
      </c>
      <c r="V4" s="120" t="str">
        <f>"diskret "&amp;T4</f>
        <v>diskret act/act</v>
      </c>
      <c r="W4" s="120" t="str">
        <f>"einfach "&amp;T4</f>
        <v>einfach act/act</v>
      </c>
      <c r="X4" s="120" t="str">
        <f>"gemischt "&amp;T4</f>
        <v>gemischt act/act</v>
      </c>
      <c r="Y4" s="128" t="s">
        <v>48</v>
      </c>
      <c r="Z4" s="128" t="s">
        <v>49</v>
      </c>
      <c r="AA4" s="128" t="s">
        <v>50</v>
      </c>
      <c r="AB4" s="128" t="s">
        <v>223</v>
      </c>
      <c r="AC4" s="124" t="s">
        <v>48</v>
      </c>
      <c r="AD4" s="120" t="s">
        <v>48</v>
      </c>
      <c r="AE4" s="120" t="s">
        <v>49</v>
      </c>
      <c r="AF4" s="120" t="s">
        <v>50</v>
      </c>
      <c r="AG4" s="123" t="str">
        <f>AC4</f>
        <v>stetig</v>
      </c>
      <c r="AH4" s="120" t="s">
        <v>48</v>
      </c>
      <c r="AI4" s="120" t="s">
        <v>49</v>
      </c>
      <c r="AJ4" s="120" t="s">
        <v>50</v>
      </c>
      <c r="AK4" s="128" t="str">
        <f>AH4</f>
        <v>stetig</v>
      </c>
      <c r="AL4" s="128" t="str">
        <f>AI4</f>
        <v>diskret</v>
      </c>
      <c r="AM4" s="128" t="str">
        <f>AJ4</f>
        <v>einfach</v>
      </c>
      <c r="AN4" s="123" t="s">
        <v>226</v>
      </c>
      <c r="AO4" s="123" t="s">
        <v>227</v>
      </c>
      <c r="AP4" s="121" t="s">
        <v>106</v>
      </c>
      <c r="AQ4" s="120" t="s">
        <v>48</v>
      </c>
      <c r="AR4" s="120" t="s">
        <v>49</v>
      </c>
      <c r="AS4" s="120" t="s">
        <v>50</v>
      </c>
      <c r="AT4" s="120" t="s">
        <v>223</v>
      </c>
    </row>
    <row r="5" spans="1:46" ht="12.75">
      <c r="A5" s="125">
        <v>36571</v>
      </c>
      <c r="B5" s="125">
        <v>36891</v>
      </c>
      <c r="C5" s="99">
        <v>0.07</v>
      </c>
      <c r="D5" s="126">
        <f aca="true" t="shared" si="0" ref="D5:D31">$B5-$A5</f>
        <v>320</v>
      </c>
      <c r="E5" s="127">
        <f aca="true" t="shared" si="1" ref="E5:E31">($B5-$A5)/365</f>
        <v>0.8767123287671232</v>
      </c>
      <c r="F5" s="127">
        <f aca="true" t="shared" si="2" ref="F5:F31">($B5-$A5)/360</f>
        <v>0.8888888888888888</v>
      </c>
      <c r="G5" s="127">
        <f aca="true" t="shared" si="3" ref="G5:G31">YEAR($B5)-YEAR($A5)+(MONTH($B5)-MONTH($A5))/12+(DAY($B5)-MIN(DAY($A5),30)-MAX(DAY($B5)-30,0)*IF(DAY($A5)-29&lt;=0,0,1))/360</f>
        <v>0.8777777777777778</v>
      </c>
      <c r="H5" s="127">
        <f aca="true" t="shared" si="4" ref="H5:H31">YEAR($B5)-YEAR($A5)+(MONTH($B5)-MONTH($A5))/12+(MIN(DAY($B5),30)-MIN(DAY($A5),30))/360</f>
        <v>0.875</v>
      </c>
      <c r="I5" s="127">
        <f aca="true" t="shared" si="5" ref="I5:I31">YEAR($B5)-YEAR($A5)+($B5-DATE(YEAR($B5),1,1))/(DATE(YEAR($B5)+1,1,1)-DATE(YEAR($B5),1,1))-($A5-DATE(YEAR($A5),1,1))/(DATE(YEAR($A5)+1,1,1)-DATE(YEAR($A5),1,1))</f>
        <v>0.8743169398907104</v>
      </c>
      <c r="J5" s="126">
        <f>365*E5</f>
        <v>320</v>
      </c>
      <c r="K5" s="126">
        <f>360*F5</f>
        <v>320</v>
      </c>
      <c r="L5" s="126">
        <f>360*G5</f>
        <v>316</v>
      </c>
      <c r="M5" s="126">
        <f>360*H5</f>
        <v>315</v>
      </c>
      <c r="N5" s="126">
        <f>D5</f>
        <v>320</v>
      </c>
      <c r="O5" s="127">
        <f aca="true" t="shared" si="6" ref="O5:O31">IF(O$4="Act/365f",E5,IF(O$4="Act/360",F5,IF(O$4="30/360",G5,IF(O$4="30E/360",H5,IF(O$4="act/act",I5,"")))))</f>
        <v>0.875</v>
      </c>
      <c r="P5" s="10">
        <f aca="true" t="shared" si="7" ref="P5:P31">EXP(-C5*O5)</f>
        <v>0.9405880633643421</v>
      </c>
      <c r="Q5" s="10">
        <f aca="true" t="shared" si="8" ref="Q5:Q31">(1+C5)^(-(O5))</f>
        <v>0.942517004969677</v>
      </c>
      <c r="R5" s="10">
        <f aca="true" t="shared" si="9" ref="R5:R31">1/(1+C5*O5)</f>
        <v>0.9422850412249705</v>
      </c>
      <c r="S5" s="10">
        <f aca="true" t="shared" si="10" ref="S5:S31">(1+C5)^(-(INT(O5)))/(1+C5*(O5-INT(O5)))</f>
        <v>0.9422850412249705</v>
      </c>
      <c r="T5" s="127">
        <f>IF(T$4="Act/365f",E5,IF(T$4="Act/360",F5,IF(T$4="30/360",G5,IF(T$4="30E/360",H5,IF(T$4="act/act",I5,"")))))</f>
        <v>0.8743169398907104</v>
      </c>
      <c r="U5" s="10">
        <f>EXP(-C5*T5)</f>
        <v>0.9406330379125197</v>
      </c>
      <c r="V5" s="10">
        <f>(1+C5)^(-(T5))</f>
        <v>0.9425605643278001</v>
      </c>
      <c r="W5" s="10">
        <f>1/(1+C5*T5)</f>
        <v>0.9423274974253347</v>
      </c>
      <c r="X5" s="10">
        <f>(1+C5)^(-(INT(T5)))/(1+C5*(T5-INT(T5)))</f>
        <v>0.9423274974253347</v>
      </c>
      <c r="Y5" s="10">
        <f>P5-U5</f>
        <v>-4.4974548177645346E-05</v>
      </c>
      <c r="Z5" s="10">
        <f>Q5-V5</f>
        <v>-4.3559358123057557E-05</v>
      </c>
      <c r="AA5" s="10">
        <f>R5-W5</f>
        <v>-4.245620036424924E-05</v>
      </c>
      <c r="AB5" s="10">
        <f>S5-X5</f>
        <v>-4.245620036424924E-05</v>
      </c>
      <c r="AC5" s="127">
        <f aca="true" t="shared" si="11" ref="AC5:AC31">IF(AC$4="stetig",P5,IF(AC$4="diskret",Q5,R5))</f>
        <v>0.9405880633643421</v>
      </c>
      <c r="AD5" s="99">
        <f aca="true" t="shared" si="12" ref="AD5:AD31">-LN(AC5)/O5</f>
        <v>0.06999999999999998</v>
      </c>
      <c r="AE5" s="99">
        <f aca="true" t="shared" si="13" ref="AE5:AE31">(1/(POWER(AC5,1/O5))-1)</f>
        <v>0.07250818125421632</v>
      </c>
      <c r="AF5" s="99">
        <f aca="true" t="shared" si="14" ref="AF5:AF31">(1-AC5)/(AC5*O5)</f>
        <v>0.07218819672468714</v>
      </c>
      <c r="AG5" s="127">
        <f aca="true" t="shared" si="15" ref="AG5:AG31">IF(AG$4="stetig",T5,IF(AG$4="diskret",U5,V5))</f>
        <v>0.8743169398907104</v>
      </c>
      <c r="AH5" s="99">
        <f>-LN(AC5)/T5</f>
        <v>0.07005468749999998</v>
      </c>
      <c r="AI5" s="99">
        <f>(1/(POWER(AC5,1/T5))-1)</f>
        <v>0.0725668356491953</v>
      </c>
      <c r="AJ5" s="99">
        <f>(1-AC5)/(AC5*T5)</f>
        <v>0.0722445937533783</v>
      </c>
      <c r="AK5" s="99">
        <f>AD5-AH5</f>
        <v>-5.4687499999997446E-05</v>
      </c>
      <c r="AL5" s="99">
        <f>AE5-AI5</f>
        <v>-5.865439497898528E-05</v>
      </c>
      <c r="AM5" s="99">
        <f>AF5-AJ5</f>
        <v>-5.6397028691160256E-05</v>
      </c>
      <c r="AN5" s="99">
        <f>AE5-AD5</f>
        <v>0.0025081812542163406</v>
      </c>
      <c r="AO5" s="99">
        <f>AF5-AD5</f>
        <v>0.002188196724687161</v>
      </c>
      <c r="AP5" s="127">
        <f>(1/AC5)-1</f>
        <v>0.06316467213410126</v>
      </c>
      <c r="AQ5" s="10">
        <f>1/P5</f>
        <v>1.0631646721341013</v>
      </c>
      <c r="AR5" s="10">
        <f>1/Q5</f>
        <v>1.060988814766448</v>
      </c>
      <c r="AS5" s="10">
        <f>1/R5</f>
        <v>1.06125</v>
      </c>
      <c r="AT5" s="10">
        <f>1/S5</f>
        <v>1.06125</v>
      </c>
    </row>
    <row r="6" spans="1:46" ht="12.75">
      <c r="A6" s="125">
        <v>36950</v>
      </c>
      <c r="B6" s="125">
        <v>38046</v>
      </c>
      <c r="C6" s="99">
        <v>0.07</v>
      </c>
      <c r="D6" s="126">
        <f t="shared" si="0"/>
        <v>1096</v>
      </c>
      <c r="E6" s="127">
        <f t="shared" si="1"/>
        <v>3.0027397260273974</v>
      </c>
      <c r="F6" s="127">
        <f t="shared" si="2"/>
        <v>3.0444444444444443</v>
      </c>
      <c r="G6" s="127">
        <f t="shared" si="3"/>
        <v>3.0027777777777778</v>
      </c>
      <c r="H6" s="127">
        <f t="shared" si="4"/>
        <v>3.0027777777777778</v>
      </c>
      <c r="I6" s="127">
        <f t="shared" si="5"/>
        <v>3.0022980762033087</v>
      </c>
      <c r="J6" s="126">
        <f>365*E6</f>
        <v>1096</v>
      </c>
      <c r="K6" s="126">
        <f aca="true" t="shared" si="16" ref="K6:L8">360*F6</f>
        <v>1096</v>
      </c>
      <c r="L6" s="126">
        <f t="shared" si="16"/>
        <v>1081</v>
      </c>
      <c r="M6" s="126">
        <f>360*H6</f>
        <v>1081</v>
      </c>
      <c r="N6" s="126">
        <f>D6</f>
        <v>1096</v>
      </c>
      <c r="O6" s="127">
        <f t="shared" si="6"/>
        <v>3.0027777777777778</v>
      </c>
      <c r="P6" s="10">
        <f t="shared" si="7"/>
        <v>0.8104266476893556</v>
      </c>
      <c r="Q6" s="10">
        <f t="shared" si="8"/>
        <v>0.8161444757200685</v>
      </c>
      <c r="R6" s="10">
        <f t="shared" si="9"/>
        <v>0.8263134941584227</v>
      </c>
      <c r="S6" s="10">
        <f t="shared" si="10"/>
        <v>0.8161391831607929</v>
      </c>
      <c r="T6" s="127">
        <f aca="true" t="shared" si="17" ref="T6:T31">IF(T$4="Act/365f",E6,IF(T$4="Act/360",F6,IF(T$4="30/360",G6,IF(T$4="30E/360",H6,IF(T$4="act/act",I6,"")))))</f>
        <v>3.0022980762033087</v>
      </c>
      <c r="U6" s="10">
        <f aca="true" t="shared" si="18" ref="U6:U31">EXP(-C6*T6)</f>
        <v>0.8104538615519838</v>
      </c>
      <c r="V6" s="10">
        <f aca="true" t="shared" si="19" ref="V6:V31">(1+C6)^(-(T6))</f>
        <v>0.816170964902553</v>
      </c>
      <c r="W6" s="10">
        <f aca="true" t="shared" si="20" ref="W6:W31">1/(1+C6*T6)</f>
        <v>0.826336422409274</v>
      </c>
      <c r="X6" s="10">
        <f aca="true" t="shared" si="21" ref="X6:X31">(1+C6)^(-(INT(T6)))/(1+C6*(T6-INT(T6)))</f>
        <v>0.8161665839805312</v>
      </c>
      <c r="Y6" s="10">
        <f aca="true" t="shared" si="22" ref="Y6:Y31">P6-U6</f>
        <v>-2.7213862628272523E-05</v>
      </c>
      <c r="Z6" s="10">
        <f aca="true" t="shared" si="23" ref="Z6:Z31">Q6-V6</f>
        <v>-2.6489182484490392E-05</v>
      </c>
      <c r="AA6" s="10">
        <f aca="true" t="shared" si="24" ref="AA6:AA31">R6-W6</f>
        <v>-2.2928250851261822E-05</v>
      </c>
      <c r="AB6" s="10">
        <f aca="true" t="shared" si="25" ref="AB6:AB31">S6-X6</f>
        <v>-2.7400819738288007E-05</v>
      </c>
      <c r="AC6" s="127">
        <f t="shared" si="11"/>
        <v>0.8104266476893556</v>
      </c>
      <c r="AD6" s="99">
        <f t="shared" si="12"/>
        <v>0.07000000000000002</v>
      </c>
      <c r="AE6" s="99">
        <f t="shared" si="13"/>
        <v>0.07250818125421654</v>
      </c>
      <c r="AF6" s="99">
        <f t="shared" si="14"/>
        <v>0.07790052492602531</v>
      </c>
      <c r="AG6" s="127">
        <f t="shared" si="15"/>
        <v>3.0022980762033087</v>
      </c>
      <c r="AH6" s="99">
        <f aca="true" t="shared" si="26" ref="AH6:AH31">-LN(AC6)/T6</f>
        <v>0.07001118446915017</v>
      </c>
      <c r="AI6" s="99">
        <f aca="true" t="shared" si="27" ref="AI6:AI31">(1/(POWER(AC6,1/T6))-1)</f>
        <v>0.07252017675596445</v>
      </c>
      <c r="AJ6" s="99">
        <f aca="true" t="shared" si="28" ref="AJ6:AJ31">(1-AC6)/(AC6*T6)</f>
        <v>0.0779129717262798</v>
      </c>
      <c r="AK6" s="99">
        <f aca="true" t="shared" si="29" ref="AK6:AK31">AD6-AH6</f>
        <v>-1.1184469150146703E-05</v>
      </c>
      <c r="AL6" s="99">
        <f aca="true" t="shared" si="30" ref="AL6:AL31">AE6-AI6</f>
        <v>-1.1995501747907866E-05</v>
      </c>
      <c r="AM6" s="99">
        <f aca="true" t="shared" si="31" ref="AM6:AM31">AF6-AJ6</f>
        <v>-1.2446800254486967E-05</v>
      </c>
      <c r="AN6" s="99">
        <f aca="true" t="shared" si="32" ref="AN6:AN31">AE6-AD6</f>
        <v>0.002508181254216521</v>
      </c>
      <c r="AO6" s="99">
        <f aca="true" t="shared" si="33" ref="AO6:AO31">AF6-AD6</f>
        <v>0.00790052492602529</v>
      </c>
      <c r="AP6" s="127">
        <f aca="true" t="shared" si="34" ref="AP6:AP31">(1/AC6)-1</f>
        <v>0.23391796512509266</v>
      </c>
      <c r="AQ6" s="10">
        <f aca="true" t="shared" si="35" ref="AQ6:AQ31">1/P6</f>
        <v>1.2339179651250927</v>
      </c>
      <c r="AR6" s="10">
        <f aca="true" t="shared" si="36" ref="AR6:AR31">1/Q6</f>
        <v>1.2252732570636091</v>
      </c>
      <c r="AS6" s="10">
        <f aca="true" t="shared" si="37" ref="AS6:AS31">1/R6</f>
        <v>1.2101944444444444</v>
      </c>
      <c r="AT6" s="10">
        <f aca="true" t="shared" si="38" ref="AT6:AT31">1/S6</f>
        <v>1.2252812028055555</v>
      </c>
    </row>
    <row r="7" spans="1:46" ht="12.75">
      <c r="A7" s="125">
        <v>36950</v>
      </c>
      <c r="B7" s="125">
        <v>36951</v>
      </c>
      <c r="C7" s="99">
        <v>0.07</v>
      </c>
      <c r="D7" s="126">
        <f t="shared" si="0"/>
        <v>1</v>
      </c>
      <c r="E7" s="127">
        <f t="shared" si="1"/>
        <v>0.0027397260273972603</v>
      </c>
      <c r="F7" s="127">
        <f t="shared" si="2"/>
        <v>0.002777777777777778</v>
      </c>
      <c r="G7" s="127">
        <f t="shared" si="3"/>
        <v>0.008333333333333331</v>
      </c>
      <c r="H7" s="127">
        <f t="shared" si="4"/>
        <v>0.008333333333333331</v>
      </c>
      <c r="I7" s="127">
        <f t="shared" si="5"/>
        <v>0.002739726027397249</v>
      </c>
      <c r="J7" s="126">
        <f>365*E7</f>
        <v>1</v>
      </c>
      <c r="K7" s="126">
        <f t="shared" si="16"/>
        <v>1</v>
      </c>
      <c r="L7" s="126">
        <f t="shared" si="16"/>
        <v>2.999999999999999</v>
      </c>
      <c r="M7" s="126">
        <f>360*H7</f>
        <v>2.999999999999999</v>
      </c>
      <c r="N7" s="126">
        <f>D7</f>
        <v>1</v>
      </c>
      <c r="O7" s="127">
        <f t="shared" si="6"/>
        <v>0.008333333333333331</v>
      </c>
      <c r="P7" s="10">
        <f t="shared" si="7"/>
        <v>0.9994168367724778</v>
      </c>
      <c r="Q7" s="10">
        <f t="shared" si="8"/>
        <v>0.99943633684718</v>
      </c>
      <c r="R7" s="10">
        <f t="shared" si="9"/>
        <v>0.9994170067460647</v>
      </c>
      <c r="S7" s="10">
        <f t="shared" si="10"/>
        <v>0.9994170067460647</v>
      </c>
      <c r="T7" s="127">
        <f t="shared" si="17"/>
        <v>0.002739726027397249</v>
      </c>
      <c r="U7" s="10">
        <f t="shared" si="18"/>
        <v>0.9998082375668484</v>
      </c>
      <c r="V7" s="10">
        <f t="shared" si="19"/>
        <v>0.9998146510190429</v>
      </c>
      <c r="W7" s="10">
        <f t="shared" si="20"/>
        <v>0.9998082559509135</v>
      </c>
      <c r="X7" s="10">
        <f t="shared" si="21"/>
        <v>0.9998082559509135</v>
      </c>
      <c r="Y7" s="10">
        <f t="shared" si="22"/>
        <v>-0.00039140079437061104</v>
      </c>
      <c r="Z7" s="10">
        <f t="shared" si="23"/>
        <v>-0.000378314171862848</v>
      </c>
      <c r="AA7" s="10">
        <f t="shared" si="24"/>
        <v>-0.000391249204848787</v>
      </c>
      <c r="AB7" s="10">
        <f t="shared" si="25"/>
        <v>-0.000391249204848787</v>
      </c>
      <c r="AC7" s="127">
        <f t="shared" si="11"/>
        <v>0.9994168367724778</v>
      </c>
      <c r="AD7" s="99">
        <f t="shared" si="12"/>
        <v>0.06999999999999801</v>
      </c>
      <c r="AE7" s="99">
        <f t="shared" si="13"/>
        <v>0.07250818125421432</v>
      </c>
      <c r="AF7" s="99">
        <f t="shared" si="14"/>
        <v>0.07002042063715108</v>
      </c>
      <c r="AG7" s="127">
        <f t="shared" si="15"/>
        <v>0.002739726027397249</v>
      </c>
      <c r="AH7" s="99">
        <f t="shared" si="26"/>
        <v>0.21291666666666142</v>
      </c>
      <c r="AI7" s="99">
        <f t="shared" si="27"/>
        <v>0.2372815401523456</v>
      </c>
      <c r="AJ7" s="99">
        <f t="shared" si="28"/>
        <v>0.21297877943800206</v>
      </c>
      <c r="AK7" s="99">
        <f t="shared" si="29"/>
        <v>-0.14291666666666342</v>
      </c>
      <c r="AL7" s="99">
        <f t="shared" si="30"/>
        <v>-0.16477335889813127</v>
      </c>
      <c r="AM7" s="99">
        <f t="shared" si="31"/>
        <v>-0.14295835880085098</v>
      </c>
      <c r="AN7" s="99">
        <f t="shared" si="32"/>
        <v>0.002508181254216313</v>
      </c>
      <c r="AO7" s="99">
        <f t="shared" si="33"/>
        <v>2.0420637153073518E-05</v>
      </c>
      <c r="AP7" s="127">
        <f t="shared" si="34"/>
        <v>0.0005835035053096682</v>
      </c>
      <c r="AQ7" s="10">
        <f t="shared" si="35"/>
        <v>1.0005835035053097</v>
      </c>
      <c r="AR7" s="10">
        <f t="shared" si="36"/>
        <v>1.0005639810481557</v>
      </c>
      <c r="AS7" s="10">
        <f t="shared" si="37"/>
        <v>1.0005833333333334</v>
      </c>
      <c r="AT7" s="10">
        <f t="shared" si="38"/>
        <v>1.0005833333333334</v>
      </c>
    </row>
    <row r="8" spans="1:46" ht="12.75">
      <c r="A8" s="125">
        <v>37876</v>
      </c>
      <c r="B8" s="125">
        <v>39232</v>
      </c>
      <c r="C8" s="99">
        <v>0.07</v>
      </c>
      <c r="D8" s="126">
        <f t="shared" si="0"/>
        <v>1356</v>
      </c>
      <c r="E8" s="127">
        <f t="shared" si="1"/>
        <v>3.7150684931506848</v>
      </c>
      <c r="F8" s="127">
        <f t="shared" si="2"/>
        <v>3.7666666666666666</v>
      </c>
      <c r="G8" s="127">
        <f t="shared" si="3"/>
        <v>3.7166666666666663</v>
      </c>
      <c r="H8" s="127">
        <f t="shared" si="4"/>
        <v>3.7166666666666663</v>
      </c>
      <c r="I8" s="127">
        <f t="shared" si="5"/>
        <v>3.7123287671232874</v>
      </c>
      <c r="J8" s="126">
        <f>365*E8</f>
        <v>1356</v>
      </c>
      <c r="K8" s="126">
        <f t="shared" si="16"/>
        <v>1356</v>
      </c>
      <c r="L8" s="126">
        <f t="shared" si="16"/>
        <v>1337.9999999999998</v>
      </c>
      <c r="M8" s="126">
        <f>360*H8</f>
        <v>1337.9999999999998</v>
      </c>
      <c r="N8" s="126">
        <f>D8</f>
        <v>1356</v>
      </c>
      <c r="O8" s="127">
        <f t="shared" si="6"/>
        <v>3.7166666666666663</v>
      </c>
      <c r="P8" s="10">
        <f t="shared" si="7"/>
        <v>0.7709230879143872</v>
      </c>
      <c r="Q8" s="10">
        <f t="shared" si="8"/>
        <v>0.7776609524975675</v>
      </c>
      <c r="R8" s="10">
        <f t="shared" si="9"/>
        <v>0.7935458272715249</v>
      </c>
      <c r="S8" s="10">
        <f t="shared" si="10"/>
        <v>0.7773031679646264</v>
      </c>
      <c r="T8" s="127">
        <f t="shared" si="17"/>
        <v>3.7123287671232874</v>
      </c>
      <c r="U8" s="10">
        <f t="shared" si="18"/>
        <v>0.7711572165432878</v>
      </c>
      <c r="V8" s="10">
        <f t="shared" si="19"/>
        <v>0.7778892267005405</v>
      </c>
      <c r="W8" s="10">
        <f t="shared" si="20"/>
        <v>0.7937370881809286</v>
      </c>
      <c r="X8" s="10">
        <f t="shared" si="21"/>
        <v>0.7775279881658688</v>
      </c>
      <c r="Y8" s="10">
        <f t="shared" si="22"/>
        <v>-0.00023412862890059838</v>
      </c>
      <c r="Z8" s="10">
        <f t="shared" si="23"/>
        <v>-0.00022827420297300005</v>
      </c>
      <c r="AA8" s="10">
        <f t="shared" si="24"/>
        <v>-0.0001912609094036899</v>
      </c>
      <c r="AB8" s="10">
        <f t="shared" si="25"/>
        <v>-0.00022482020124237057</v>
      </c>
      <c r="AC8" s="127">
        <f t="shared" si="11"/>
        <v>0.7709230879143872</v>
      </c>
      <c r="AD8" s="99">
        <f t="shared" si="12"/>
        <v>0.07</v>
      </c>
      <c r="AE8" s="99">
        <f t="shared" si="13"/>
        <v>0.07250818125421632</v>
      </c>
      <c r="AF8" s="99">
        <f t="shared" si="14"/>
        <v>0.07994966628541741</v>
      </c>
      <c r="AG8" s="127">
        <f t="shared" si="15"/>
        <v>3.7123287671232874</v>
      </c>
      <c r="AH8" s="99">
        <f t="shared" si="26"/>
        <v>0.07008179581795818</v>
      </c>
      <c r="AI8" s="99">
        <f t="shared" si="27"/>
        <v>0.07259591152610478</v>
      </c>
      <c r="AJ8" s="99">
        <f t="shared" si="28"/>
        <v>0.08004308840469312</v>
      </c>
      <c r="AK8" s="99">
        <f t="shared" si="29"/>
        <v>-8.179581795816904E-05</v>
      </c>
      <c r="AL8" s="99">
        <f t="shared" si="30"/>
        <v>-8.773027188846427E-05</v>
      </c>
      <c r="AM8" s="99">
        <f t="shared" si="31"/>
        <v>-9.342211927571009E-05</v>
      </c>
      <c r="AN8" s="99">
        <f t="shared" si="32"/>
        <v>0.002508181254216313</v>
      </c>
      <c r="AO8" s="99">
        <f t="shared" si="33"/>
        <v>0.009949666285417408</v>
      </c>
      <c r="AP8" s="127">
        <f t="shared" si="34"/>
        <v>0.2971462596941348</v>
      </c>
      <c r="AQ8" s="10">
        <f t="shared" si="35"/>
        <v>1.2971462596941348</v>
      </c>
      <c r="AR8" s="10">
        <f t="shared" si="36"/>
        <v>1.2859074340666834</v>
      </c>
      <c r="AS8" s="10">
        <f t="shared" si="37"/>
        <v>1.2601666666666667</v>
      </c>
      <c r="AT8" s="10">
        <f t="shared" si="38"/>
        <v>1.2864993238333335</v>
      </c>
    </row>
    <row r="9" spans="1:46" ht="12.75">
      <c r="A9" s="125">
        <v>36585</v>
      </c>
      <c r="B9" s="125">
        <v>36616</v>
      </c>
      <c r="C9" s="99">
        <v>0.07</v>
      </c>
      <c r="D9" s="126">
        <f t="shared" si="0"/>
        <v>31</v>
      </c>
      <c r="E9" s="127">
        <f t="shared" si="1"/>
        <v>0.08493150684931507</v>
      </c>
      <c r="F9" s="127">
        <f t="shared" si="2"/>
        <v>0.08611111111111111</v>
      </c>
      <c r="G9" s="127">
        <f t="shared" si="3"/>
        <v>0.08888888888888888</v>
      </c>
      <c r="H9" s="127">
        <f t="shared" si="4"/>
        <v>0.08611111111111111</v>
      </c>
      <c r="I9" s="127">
        <f t="shared" si="5"/>
        <v>0.08469945355191255</v>
      </c>
      <c r="J9" s="126">
        <f aca="true" t="shared" si="39" ref="J9:J19">365*E9</f>
        <v>31</v>
      </c>
      <c r="K9" s="126">
        <f aca="true" t="shared" si="40" ref="K9:K19">360*F9</f>
        <v>31</v>
      </c>
      <c r="L9" s="126">
        <f aca="true" t="shared" si="41" ref="L9:L19">360*G9</f>
        <v>31.999999999999996</v>
      </c>
      <c r="M9" s="126">
        <f aca="true" t="shared" si="42" ref="M9:M19">360*H9</f>
        <v>31</v>
      </c>
      <c r="N9" s="126">
        <f aca="true" t="shared" si="43" ref="N9:N19">D9</f>
        <v>31</v>
      </c>
      <c r="O9" s="127">
        <f t="shared" si="6"/>
        <v>0.08611111111111111</v>
      </c>
      <c r="P9" s="10">
        <f t="shared" si="7"/>
        <v>0.9939903528273137</v>
      </c>
      <c r="Q9" s="10">
        <f t="shared" si="8"/>
        <v>0.9941907777692155</v>
      </c>
      <c r="R9" s="10">
        <f t="shared" si="9"/>
        <v>0.9940083386255074</v>
      </c>
      <c r="S9" s="10">
        <f t="shared" si="10"/>
        <v>0.9940083386255074</v>
      </c>
      <c r="T9" s="127">
        <f t="shared" si="17"/>
        <v>0.08469945355191255</v>
      </c>
      <c r="U9" s="10">
        <f t="shared" si="18"/>
        <v>0.9940885798601101</v>
      </c>
      <c r="V9" s="10">
        <f t="shared" si="19"/>
        <v>0.9942857383028768</v>
      </c>
      <c r="W9" s="10">
        <f t="shared" si="20"/>
        <v>0.9941059836488579</v>
      </c>
      <c r="X9" s="10">
        <f t="shared" si="21"/>
        <v>0.9941059836488579</v>
      </c>
      <c r="Y9" s="10">
        <f t="shared" si="22"/>
        <v>-9.822703279638301E-05</v>
      </c>
      <c r="Z9" s="10">
        <f t="shared" si="23"/>
        <v>-9.496053366131463E-05</v>
      </c>
      <c r="AA9" s="10">
        <f t="shared" si="24"/>
        <v>-9.764502335052327E-05</v>
      </c>
      <c r="AB9" s="10">
        <f t="shared" si="25"/>
        <v>-9.764502335052327E-05</v>
      </c>
      <c r="AC9" s="127">
        <f t="shared" si="11"/>
        <v>0.9939903528273137</v>
      </c>
      <c r="AD9" s="99">
        <f t="shared" si="12"/>
        <v>0.06999999999999942</v>
      </c>
      <c r="AE9" s="99">
        <f t="shared" si="13"/>
        <v>0.07250818125421588</v>
      </c>
      <c r="AF9" s="99">
        <f t="shared" si="14"/>
        <v>0.07021139675967404</v>
      </c>
      <c r="AG9" s="127">
        <f t="shared" si="15"/>
        <v>0.08469945355191255</v>
      </c>
      <c r="AH9" s="99">
        <f t="shared" si="26"/>
        <v>0.0711666666666661</v>
      </c>
      <c r="AI9" s="99">
        <f t="shared" si="27"/>
        <v>0.07376017098434695</v>
      </c>
      <c r="AJ9" s="99">
        <f t="shared" si="28"/>
        <v>0.0713815867056686</v>
      </c>
      <c r="AK9" s="99">
        <f t="shared" si="29"/>
        <v>-0.001166666666666677</v>
      </c>
      <c r="AL9" s="99">
        <f t="shared" si="30"/>
        <v>-0.0012519897301310756</v>
      </c>
      <c r="AM9" s="99">
        <f t="shared" si="31"/>
        <v>-0.0011701899459945625</v>
      </c>
      <c r="AN9" s="99">
        <f t="shared" si="32"/>
        <v>0.0025081812542164517</v>
      </c>
      <c r="AO9" s="99">
        <f t="shared" si="33"/>
        <v>0.00021139675967461746</v>
      </c>
      <c r="AP9" s="127">
        <f t="shared" si="34"/>
        <v>0.006045981387638566</v>
      </c>
      <c r="AQ9" s="10">
        <f t="shared" si="35"/>
        <v>1.0060459813876386</v>
      </c>
      <c r="AR9" s="10">
        <f t="shared" si="36"/>
        <v>1.0058431664834182</v>
      </c>
      <c r="AS9" s="10">
        <f t="shared" si="37"/>
        <v>1.0060277777777777</v>
      </c>
      <c r="AT9" s="10">
        <f t="shared" si="38"/>
        <v>1.0060277777777777</v>
      </c>
    </row>
    <row r="10" spans="1:46" ht="12.75">
      <c r="A10" s="125">
        <v>37771</v>
      </c>
      <c r="B10" s="125">
        <v>37986</v>
      </c>
      <c r="C10" s="99">
        <v>0.07</v>
      </c>
      <c r="D10" s="126">
        <f t="shared" si="0"/>
        <v>215</v>
      </c>
      <c r="E10" s="127">
        <f t="shared" si="1"/>
        <v>0.589041095890411</v>
      </c>
      <c r="F10" s="127">
        <f t="shared" si="2"/>
        <v>0.5972222222222222</v>
      </c>
      <c r="G10" s="127">
        <f t="shared" si="3"/>
        <v>0.5833333333333334</v>
      </c>
      <c r="H10" s="127">
        <f t="shared" si="4"/>
        <v>0.5833333333333334</v>
      </c>
      <c r="I10" s="127">
        <f t="shared" si="5"/>
        <v>0.589041095890411</v>
      </c>
      <c r="J10" s="126">
        <f t="shared" si="39"/>
        <v>215</v>
      </c>
      <c r="K10" s="126">
        <f t="shared" si="40"/>
        <v>215</v>
      </c>
      <c r="L10" s="126">
        <f t="shared" si="41"/>
        <v>210</v>
      </c>
      <c r="M10" s="126">
        <f t="shared" si="42"/>
        <v>210</v>
      </c>
      <c r="N10" s="126">
        <f t="shared" si="43"/>
        <v>215</v>
      </c>
      <c r="O10" s="127">
        <f t="shared" si="6"/>
        <v>0.5833333333333334</v>
      </c>
      <c r="P10" s="10">
        <f t="shared" si="7"/>
        <v>0.9599891148011577</v>
      </c>
      <c r="Q10" s="10">
        <f t="shared" si="8"/>
        <v>0.9613011525679639</v>
      </c>
      <c r="R10" s="10">
        <f t="shared" si="9"/>
        <v>0.9607686148919136</v>
      </c>
      <c r="S10" s="10">
        <f t="shared" si="10"/>
        <v>0.9607686148919136</v>
      </c>
      <c r="T10" s="127">
        <f t="shared" si="17"/>
        <v>0.589041095890411</v>
      </c>
      <c r="U10" s="10">
        <f t="shared" si="18"/>
        <v>0.9596056341201161</v>
      </c>
      <c r="V10" s="10">
        <f t="shared" si="19"/>
        <v>0.960929989441519</v>
      </c>
      <c r="W10" s="10">
        <f t="shared" si="20"/>
        <v>0.9603999473753454</v>
      </c>
      <c r="X10" s="10">
        <f t="shared" si="21"/>
        <v>0.9603999473753454</v>
      </c>
      <c r="Y10" s="10">
        <f t="shared" si="22"/>
        <v>0.0003834806810415481</v>
      </c>
      <c r="Z10" s="10">
        <f t="shared" si="23"/>
        <v>0.0003711631264449178</v>
      </c>
      <c r="AA10" s="10">
        <f t="shared" si="24"/>
        <v>0.0003686675165681663</v>
      </c>
      <c r="AB10" s="10">
        <f t="shared" si="25"/>
        <v>0.0003686675165681663</v>
      </c>
      <c r="AC10" s="127">
        <f t="shared" si="11"/>
        <v>0.9599891148011577</v>
      </c>
      <c r="AD10" s="99">
        <f t="shared" si="12"/>
        <v>0.06999999999999997</v>
      </c>
      <c r="AE10" s="99">
        <f t="shared" si="13"/>
        <v>0.07250818125421632</v>
      </c>
      <c r="AF10" s="99">
        <f t="shared" si="14"/>
        <v>0.07144881942386208</v>
      </c>
      <c r="AG10" s="127">
        <f t="shared" si="15"/>
        <v>0.589041095890411</v>
      </c>
      <c r="AH10" s="99">
        <f t="shared" si="26"/>
        <v>0.06932170542635656</v>
      </c>
      <c r="AI10" s="99">
        <f t="shared" si="27"/>
        <v>0.07178095144058383</v>
      </c>
      <c r="AJ10" s="99">
        <f t="shared" si="28"/>
        <v>0.07075648590231304</v>
      </c>
      <c r="AK10" s="99">
        <f t="shared" si="29"/>
        <v>0.0006782945736434065</v>
      </c>
      <c r="AL10" s="99">
        <f t="shared" si="30"/>
        <v>0.0007272298136324906</v>
      </c>
      <c r="AM10" s="99">
        <f t="shared" si="31"/>
        <v>0.0006923335215490434</v>
      </c>
      <c r="AN10" s="99">
        <f t="shared" si="32"/>
        <v>0.0025081812542163545</v>
      </c>
      <c r="AO10" s="99">
        <f t="shared" si="33"/>
        <v>0.001448819423862116</v>
      </c>
      <c r="AP10" s="127">
        <f t="shared" si="34"/>
        <v>0.041678477997252994</v>
      </c>
      <c r="AQ10" s="10">
        <f t="shared" si="35"/>
        <v>1.041678477997253</v>
      </c>
      <c r="AR10" s="10">
        <f t="shared" si="36"/>
        <v>1.0402567367454603</v>
      </c>
      <c r="AS10" s="10">
        <f t="shared" si="37"/>
        <v>1.0408333333333333</v>
      </c>
      <c r="AT10" s="10">
        <f t="shared" si="38"/>
        <v>1.0408333333333333</v>
      </c>
    </row>
    <row r="11" spans="1:46" ht="12.75">
      <c r="A11" s="125">
        <v>33635</v>
      </c>
      <c r="B11" s="125">
        <v>33694</v>
      </c>
      <c r="C11" s="99">
        <v>0.07</v>
      </c>
      <c r="D11" s="126">
        <f t="shared" si="0"/>
        <v>59</v>
      </c>
      <c r="E11" s="127">
        <f t="shared" si="1"/>
        <v>0.16164383561643836</v>
      </c>
      <c r="F11" s="127">
        <f t="shared" si="2"/>
        <v>0.1638888888888889</v>
      </c>
      <c r="G11" s="127">
        <f t="shared" si="3"/>
        <v>0.16666666666666666</v>
      </c>
      <c r="H11" s="127">
        <f t="shared" si="4"/>
        <v>0.1638888888888889</v>
      </c>
      <c r="I11" s="127">
        <f t="shared" si="5"/>
        <v>0.16120218579234974</v>
      </c>
      <c r="J11" s="126">
        <f t="shared" si="39"/>
        <v>59</v>
      </c>
      <c r="K11" s="126">
        <f t="shared" si="40"/>
        <v>59</v>
      </c>
      <c r="L11" s="126">
        <f t="shared" si="41"/>
        <v>60</v>
      </c>
      <c r="M11" s="126">
        <f t="shared" si="42"/>
        <v>59</v>
      </c>
      <c r="N11" s="126">
        <f t="shared" si="43"/>
        <v>59</v>
      </c>
      <c r="O11" s="127">
        <f t="shared" si="6"/>
        <v>0.1638888888888889</v>
      </c>
      <c r="P11" s="10">
        <f t="shared" si="7"/>
        <v>0.9885933327924257</v>
      </c>
      <c r="Q11" s="10">
        <f t="shared" si="8"/>
        <v>0.9889727500997317</v>
      </c>
      <c r="R11" s="10">
        <f t="shared" si="9"/>
        <v>0.9886578969049514</v>
      </c>
      <c r="S11" s="10">
        <f t="shared" si="10"/>
        <v>0.9886578969049514</v>
      </c>
      <c r="T11" s="127">
        <f t="shared" si="17"/>
        <v>0.16120218579234974</v>
      </c>
      <c r="U11" s="10">
        <f t="shared" si="18"/>
        <v>0.9887792742506001</v>
      </c>
      <c r="V11" s="10">
        <f t="shared" si="19"/>
        <v>0.9891525406214873</v>
      </c>
      <c r="W11" s="10">
        <f t="shared" si="20"/>
        <v>0.9888417583011373</v>
      </c>
      <c r="X11" s="10">
        <f t="shared" si="21"/>
        <v>0.9888417583011373</v>
      </c>
      <c r="Y11" s="10">
        <f t="shared" si="22"/>
        <v>-0.0001859414581744101</v>
      </c>
      <c r="Z11" s="10">
        <f t="shared" si="23"/>
        <v>-0.00017979052175554067</v>
      </c>
      <c r="AA11" s="10">
        <f t="shared" si="24"/>
        <v>-0.00018386139618586927</v>
      </c>
      <c r="AB11" s="10">
        <f t="shared" si="25"/>
        <v>-0.00018386139618586927</v>
      </c>
      <c r="AC11" s="127">
        <f t="shared" si="11"/>
        <v>0.9885933327924257</v>
      </c>
      <c r="AD11" s="99">
        <f t="shared" si="12"/>
        <v>0.07000000000000016</v>
      </c>
      <c r="AE11" s="99">
        <f t="shared" si="13"/>
        <v>0.07250818125421676</v>
      </c>
      <c r="AF11" s="99">
        <f t="shared" si="14"/>
        <v>0.07040306766368552</v>
      </c>
      <c r="AG11" s="127">
        <f t="shared" si="15"/>
        <v>0.16120218579234974</v>
      </c>
      <c r="AH11" s="99">
        <f t="shared" si="26"/>
        <v>0.07116666666666682</v>
      </c>
      <c r="AI11" s="99">
        <f t="shared" si="27"/>
        <v>0.07376017098434762</v>
      </c>
      <c r="AJ11" s="99">
        <f t="shared" si="28"/>
        <v>0.07157645212474695</v>
      </c>
      <c r="AK11" s="99">
        <f t="shared" si="29"/>
        <v>-0.001166666666666663</v>
      </c>
      <c r="AL11" s="99">
        <f t="shared" si="30"/>
        <v>-0.0012519897301308536</v>
      </c>
      <c r="AM11" s="99">
        <f t="shared" si="31"/>
        <v>-0.0011733844610614247</v>
      </c>
      <c r="AN11" s="99">
        <f t="shared" si="32"/>
        <v>0.0025081812542166043</v>
      </c>
      <c r="AO11" s="99">
        <f t="shared" si="33"/>
        <v>0.0004030676636853636</v>
      </c>
      <c r="AP11" s="127">
        <f t="shared" si="34"/>
        <v>0.011538280533770706</v>
      </c>
      <c r="AQ11" s="10">
        <f t="shared" si="35"/>
        <v>1.0115382805337707</v>
      </c>
      <c r="AR11" s="10">
        <f t="shared" si="36"/>
        <v>1.011150206008362</v>
      </c>
      <c r="AS11" s="10">
        <f t="shared" si="37"/>
        <v>1.0114722222222223</v>
      </c>
      <c r="AT11" s="10">
        <f t="shared" si="38"/>
        <v>1.0114722222222223</v>
      </c>
    </row>
    <row r="12" spans="1:46" ht="12.75">
      <c r="A12" s="125">
        <v>33664</v>
      </c>
      <c r="B12" s="125">
        <v>33724</v>
      </c>
      <c r="C12" s="99">
        <v>0.07</v>
      </c>
      <c r="D12" s="126">
        <f t="shared" si="0"/>
        <v>60</v>
      </c>
      <c r="E12" s="127">
        <f t="shared" si="1"/>
        <v>0.1643835616438356</v>
      </c>
      <c r="F12" s="127">
        <f t="shared" si="2"/>
        <v>0.16666666666666666</v>
      </c>
      <c r="G12" s="127">
        <f t="shared" si="3"/>
        <v>0.1638888888888889</v>
      </c>
      <c r="H12" s="127">
        <f t="shared" si="4"/>
        <v>0.1638888888888889</v>
      </c>
      <c r="I12" s="127">
        <f t="shared" si="5"/>
        <v>0.16393442622950818</v>
      </c>
      <c r="J12" s="126">
        <f t="shared" si="39"/>
        <v>60</v>
      </c>
      <c r="K12" s="126">
        <f t="shared" si="40"/>
        <v>60</v>
      </c>
      <c r="L12" s="126">
        <f t="shared" si="41"/>
        <v>59</v>
      </c>
      <c r="M12" s="126">
        <f t="shared" si="42"/>
        <v>59</v>
      </c>
      <c r="N12" s="126">
        <f t="shared" si="43"/>
        <v>60</v>
      </c>
      <c r="O12" s="127">
        <f t="shared" si="6"/>
        <v>0.1638888888888889</v>
      </c>
      <c r="P12" s="10">
        <f t="shared" si="7"/>
        <v>0.9885933327924257</v>
      </c>
      <c r="Q12" s="10">
        <f t="shared" si="8"/>
        <v>0.9889727500997317</v>
      </c>
      <c r="R12" s="10">
        <f t="shared" si="9"/>
        <v>0.9886578969049514</v>
      </c>
      <c r="S12" s="10">
        <f t="shared" si="10"/>
        <v>0.9886578969049514</v>
      </c>
      <c r="T12" s="127">
        <f t="shared" si="17"/>
        <v>0.16393442622950818</v>
      </c>
      <c r="U12" s="10">
        <f t="shared" si="18"/>
        <v>0.9885901815436551</v>
      </c>
      <c r="V12" s="10">
        <f t="shared" si="19"/>
        <v>0.9889697030844053</v>
      </c>
      <c r="W12" s="10">
        <f t="shared" si="20"/>
        <v>0.9886547811993516</v>
      </c>
      <c r="X12" s="10">
        <f t="shared" si="21"/>
        <v>0.9886547811993516</v>
      </c>
      <c r="Y12" s="10">
        <f t="shared" si="22"/>
        <v>3.1512487705942505E-06</v>
      </c>
      <c r="Z12" s="10">
        <f t="shared" si="23"/>
        <v>3.047015326385072E-06</v>
      </c>
      <c r="AA12" s="10">
        <f t="shared" si="24"/>
        <v>3.1157055998543015E-06</v>
      </c>
      <c r="AB12" s="10">
        <f t="shared" si="25"/>
        <v>3.1157055998543015E-06</v>
      </c>
      <c r="AC12" s="127">
        <f t="shared" si="11"/>
        <v>0.9885933327924257</v>
      </c>
      <c r="AD12" s="99">
        <f t="shared" si="12"/>
        <v>0.07000000000000016</v>
      </c>
      <c r="AE12" s="99">
        <f t="shared" si="13"/>
        <v>0.07250818125421676</v>
      </c>
      <c r="AF12" s="99">
        <f t="shared" si="14"/>
        <v>0.07040306766368552</v>
      </c>
      <c r="AG12" s="127">
        <f t="shared" si="15"/>
        <v>0.16393442622950818</v>
      </c>
      <c r="AH12" s="99">
        <f t="shared" si="26"/>
        <v>0.06998055555555573</v>
      </c>
      <c r="AI12" s="99">
        <f t="shared" si="27"/>
        <v>0.07248732713121919</v>
      </c>
      <c r="AJ12" s="99">
        <f t="shared" si="28"/>
        <v>0.07038351125600117</v>
      </c>
      <c r="AK12" s="99">
        <f t="shared" si="29"/>
        <v>1.944444444443305E-05</v>
      </c>
      <c r="AL12" s="99">
        <f t="shared" si="30"/>
        <v>2.0854122997571167E-05</v>
      </c>
      <c r="AM12" s="99">
        <f t="shared" si="31"/>
        <v>1.955640768434852E-05</v>
      </c>
      <c r="AN12" s="99">
        <f t="shared" si="32"/>
        <v>0.0025081812542166043</v>
      </c>
      <c r="AO12" s="99">
        <f t="shared" si="33"/>
        <v>0.0004030676636853636</v>
      </c>
      <c r="AP12" s="127">
        <f t="shared" si="34"/>
        <v>0.011538280533770706</v>
      </c>
      <c r="AQ12" s="10">
        <f t="shared" si="35"/>
        <v>1.0115382805337707</v>
      </c>
      <c r="AR12" s="10">
        <f t="shared" si="36"/>
        <v>1.011150206008362</v>
      </c>
      <c r="AS12" s="10">
        <f t="shared" si="37"/>
        <v>1.0114722222222223</v>
      </c>
      <c r="AT12" s="10">
        <f t="shared" si="38"/>
        <v>1.0114722222222223</v>
      </c>
    </row>
    <row r="13" spans="1:46" ht="12.75">
      <c r="A13" s="125">
        <v>37102</v>
      </c>
      <c r="B13" s="125">
        <v>37134</v>
      </c>
      <c r="C13" s="99">
        <v>0.07</v>
      </c>
      <c r="D13" s="126">
        <f t="shared" si="0"/>
        <v>32</v>
      </c>
      <c r="E13" s="127">
        <f t="shared" si="1"/>
        <v>0.08767123287671233</v>
      </c>
      <c r="F13" s="127">
        <f t="shared" si="2"/>
        <v>0.08888888888888889</v>
      </c>
      <c r="G13" s="127">
        <f t="shared" si="3"/>
        <v>0.08333333333333333</v>
      </c>
      <c r="H13" s="127">
        <f t="shared" si="4"/>
        <v>0.08333333333333333</v>
      </c>
      <c r="I13" s="127">
        <f t="shared" si="5"/>
        <v>0.08767123287671241</v>
      </c>
      <c r="J13" s="126">
        <f t="shared" si="39"/>
        <v>32</v>
      </c>
      <c r="K13" s="126">
        <f t="shared" si="40"/>
        <v>32</v>
      </c>
      <c r="L13" s="126">
        <f t="shared" si="41"/>
        <v>30</v>
      </c>
      <c r="M13" s="126">
        <f t="shared" si="42"/>
        <v>30</v>
      </c>
      <c r="N13" s="126">
        <f t="shared" si="43"/>
        <v>32</v>
      </c>
      <c r="O13" s="127">
        <f t="shared" si="6"/>
        <v>0.08333333333333333</v>
      </c>
      <c r="P13" s="10">
        <f t="shared" si="7"/>
        <v>0.994183647521183</v>
      </c>
      <c r="Q13" s="10">
        <f t="shared" si="8"/>
        <v>0.9943776442295407</v>
      </c>
      <c r="R13" s="10">
        <f t="shared" si="9"/>
        <v>0.9942004971002485</v>
      </c>
      <c r="S13" s="10">
        <f t="shared" si="10"/>
        <v>0.9942004971002485</v>
      </c>
      <c r="T13" s="127">
        <f t="shared" si="17"/>
        <v>0.08767123287671241</v>
      </c>
      <c r="U13" s="10">
        <f t="shared" si="18"/>
        <v>0.9938818065356146</v>
      </c>
      <c r="V13" s="10">
        <f t="shared" si="19"/>
        <v>0.9940858407742421</v>
      </c>
      <c r="W13" s="10">
        <f t="shared" si="20"/>
        <v>0.9939004465744473</v>
      </c>
      <c r="X13" s="10">
        <f t="shared" si="21"/>
        <v>0.9939004465744473</v>
      </c>
      <c r="Y13" s="10">
        <f t="shared" si="22"/>
        <v>0.00030184098556840233</v>
      </c>
      <c r="Z13" s="10">
        <f t="shared" si="23"/>
        <v>0.000291803455298556</v>
      </c>
      <c r="AA13" s="10">
        <f t="shared" si="24"/>
        <v>0.0003000505258011765</v>
      </c>
      <c r="AB13" s="10">
        <f t="shared" si="25"/>
        <v>0.0003000505258011765</v>
      </c>
      <c r="AC13" s="127">
        <f t="shared" si="11"/>
        <v>0.994183647521183</v>
      </c>
      <c r="AD13" s="99">
        <f t="shared" si="12"/>
        <v>0.06999999999999944</v>
      </c>
      <c r="AE13" s="99">
        <f t="shared" si="13"/>
        <v>0.07250818125421565</v>
      </c>
      <c r="AF13" s="99">
        <f t="shared" si="14"/>
        <v>0.07020456423702776</v>
      </c>
      <c r="AG13" s="127">
        <f t="shared" si="15"/>
        <v>0.08767123287671241</v>
      </c>
      <c r="AH13" s="99">
        <f t="shared" si="26"/>
        <v>0.06653645833333273</v>
      </c>
      <c r="AI13" s="99">
        <f t="shared" si="27"/>
        <v>0.06879993002896723</v>
      </c>
      <c r="AJ13" s="99">
        <f t="shared" si="28"/>
        <v>0.0667309009023831</v>
      </c>
      <c r="AK13" s="99">
        <f t="shared" si="29"/>
        <v>0.0034635416666667085</v>
      </c>
      <c r="AL13" s="99">
        <f t="shared" si="30"/>
        <v>0.0037082512252484268</v>
      </c>
      <c r="AM13" s="99">
        <f t="shared" si="31"/>
        <v>0.003473663334644661</v>
      </c>
      <c r="AN13" s="99">
        <f t="shared" si="32"/>
        <v>0.0025081812542162157</v>
      </c>
      <c r="AO13" s="99">
        <f t="shared" si="33"/>
        <v>0.00020456423702831794</v>
      </c>
      <c r="AP13" s="127">
        <f t="shared" si="34"/>
        <v>0.005850380353085605</v>
      </c>
      <c r="AQ13" s="10">
        <f t="shared" si="35"/>
        <v>1.0058503803530856</v>
      </c>
      <c r="AR13" s="10">
        <f t="shared" si="36"/>
        <v>1.0056541453874053</v>
      </c>
      <c r="AS13" s="10">
        <f t="shared" si="37"/>
        <v>1.0058333333333334</v>
      </c>
      <c r="AT13" s="10">
        <f t="shared" si="38"/>
        <v>1.0058333333333334</v>
      </c>
    </row>
    <row r="14" spans="1:46" ht="12.75">
      <c r="A14" s="125">
        <v>36373</v>
      </c>
      <c r="B14" s="125">
        <v>36951</v>
      </c>
      <c r="C14" s="99">
        <v>0.07</v>
      </c>
      <c r="D14" s="126">
        <f t="shared" si="0"/>
        <v>578</v>
      </c>
      <c r="E14" s="127">
        <f t="shared" si="1"/>
        <v>1.5835616438356164</v>
      </c>
      <c r="F14" s="127">
        <f t="shared" si="2"/>
        <v>1.6055555555555556</v>
      </c>
      <c r="G14" s="127">
        <f t="shared" si="3"/>
        <v>1.5833333333333333</v>
      </c>
      <c r="H14" s="127">
        <f t="shared" si="4"/>
        <v>1.5833333333333333</v>
      </c>
      <c r="I14" s="127">
        <f t="shared" si="5"/>
        <v>1.5808219178082195</v>
      </c>
      <c r="J14" s="126">
        <f t="shared" si="39"/>
        <v>578</v>
      </c>
      <c r="K14" s="126">
        <f t="shared" si="40"/>
        <v>578</v>
      </c>
      <c r="L14" s="126">
        <f t="shared" si="41"/>
        <v>570</v>
      </c>
      <c r="M14" s="126">
        <f t="shared" si="42"/>
        <v>570</v>
      </c>
      <c r="N14" s="126">
        <f t="shared" si="43"/>
        <v>578</v>
      </c>
      <c r="O14" s="127">
        <f t="shared" si="6"/>
        <v>1.5833333333333333</v>
      </c>
      <c r="P14" s="10">
        <f t="shared" si="7"/>
        <v>0.8950879178175812</v>
      </c>
      <c r="Q14" s="10">
        <f t="shared" si="8"/>
        <v>0.8984122921195925</v>
      </c>
      <c r="R14" s="10">
        <f t="shared" si="9"/>
        <v>0.900225056264066</v>
      </c>
      <c r="S14" s="10">
        <f t="shared" si="10"/>
        <v>0.8979145933569286</v>
      </c>
      <c r="T14" s="127">
        <f t="shared" si="17"/>
        <v>1.5808219178082195</v>
      </c>
      <c r="U14" s="10">
        <f t="shared" si="18"/>
        <v>0.895245287288401</v>
      </c>
      <c r="V14" s="10">
        <f t="shared" si="19"/>
        <v>0.8985649623904765</v>
      </c>
      <c r="W14" s="10">
        <f t="shared" si="20"/>
        <v>0.9003675473001307</v>
      </c>
      <c r="X14" s="10">
        <f t="shared" si="21"/>
        <v>0.8980662787676463</v>
      </c>
      <c r="Y14" s="10">
        <f t="shared" si="22"/>
        <v>-0.00015736947081979036</v>
      </c>
      <c r="Z14" s="10">
        <f t="shared" si="23"/>
        <v>-0.0001526702708839478</v>
      </c>
      <c r="AA14" s="10">
        <f t="shared" si="24"/>
        <v>-0.00014249103606467362</v>
      </c>
      <c r="AB14" s="10">
        <f t="shared" si="25"/>
        <v>-0.0001516854107177501</v>
      </c>
      <c r="AC14" s="127">
        <f t="shared" si="11"/>
        <v>0.8950879178175812</v>
      </c>
      <c r="AD14" s="99">
        <f t="shared" si="12"/>
        <v>0.07000000000000002</v>
      </c>
      <c r="AE14" s="99">
        <f t="shared" si="13"/>
        <v>0.07250818125421654</v>
      </c>
      <c r="AF14" s="99">
        <f t="shared" si="14"/>
        <v>0.0740265409822068</v>
      </c>
      <c r="AG14" s="127">
        <f t="shared" si="15"/>
        <v>1.5808219178082195</v>
      </c>
      <c r="AH14" s="99">
        <f t="shared" si="26"/>
        <v>0.07011120739456961</v>
      </c>
      <c r="AI14" s="99">
        <f t="shared" si="27"/>
        <v>0.07262745872685406</v>
      </c>
      <c r="AJ14" s="99">
        <f t="shared" si="28"/>
        <v>0.07414414525008724</v>
      </c>
      <c r="AK14" s="99">
        <f t="shared" si="29"/>
        <v>-0.00011120739456958739</v>
      </c>
      <c r="AL14" s="99">
        <f t="shared" si="30"/>
        <v>-0.00011927747263751343</v>
      </c>
      <c r="AM14" s="99">
        <f t="shared" si="31"/>
        <v>-0.00011760426788043343</v>
      </c>
      <c r="AN14" s="99">
        <f t="shared" si="32"/>
        <v>0.002508181254216521</v>
      </c>
      <c r="AO14" s="99">
        <f t="shared" si="33"/>
        <v>0.004026540982206783</v>
      </c>
      <c r="AP14" s="127">
        <f t="shared" si="34"/>
        <v>0.11720868988849409</v>
      </c>
      <c r="AQ14" s="10">
        <f t="shared" si="35"/>
        <v>1.117208689888494</v>
      </c>
      <c r="AR14" s="10">
        <f t="shared" si="36"/>
        <v>1.1130747083176424</v>
      </c>
      <c r="AS14" s="10">
        <f t="shared" si="37"/>
        <v>1.1108333333333333</v>
      </c>
      <c r="AT14" s="10">
        <f t="shared" si="38"/>
        <v>1.1136916666666665</v>
      </c>
    </row>
    <row r="15" spans="1:46" ht="12.75">
      <c r="A15" s="125">
        <v>36404</v>
      </c>
      <c r="B15" s="125">
        <v>36951</v>
      </c>
      <c r="C15" s="99">
        <v>0.07</v>
      </c>
      <c r="D15" s="126">
        <f t="shared" si="0"/>
        <v>547</v>
      </c>
      <c r="E15" s="127">
        <f t="shared" si="1"/>
        <v>1.4986301369863013</v>
      </c>
      <c r="F15" s="127">
        <f t="shared" si="2"/>
        <v>1.5194444444444444</v>
      </c>
      <c r="G15" s="127">
        <f t="shared" si="3"/>
        <v>1.5</v>
      </c>
      <c r="H15" s="127">
        <f t="shared" si="4"/>
        <v>1.5</v>
      </c>
      <c r="I15" s="127">
        <f t="shared" si="5"/>
        <v>1.4958904109589042</v>
      </c>
      <c r="J15" s="126">
        <f t="shared" si="39"/>
        <v>547</v>
      </c>
      <c r="K15" s="126">
        <f t="shared" si="40"/>
        <v>547</v>
      </c>
      <c r="L15" s="126">
        <f t="shared" si="41"/>
        <v>540</v>
      </c>
      <c r="M15" s="126">
        <f t="shared" si="42"/>
        <v>540</v>
      </c>
      <c r="N15" s="126">
        <f t="shared" si="43"/>
        <v>547</v>
      </c>
      <c r="O15" s="127">
        <f t="shared" si="6"/>
        <v>1.5</v>
      </c>
      <c r="P15" s="10">
        <f t="shared" si="7"/>
        <v>0.9003245225862656</v>
      </c>
      <c r="Q15" s="10">
        <f t="shared" si="8"/>
        <v>0.9034920458370687</v>
      </c>
      <c r="R15" s="10">
        <f t="shared" si="9"/>
        <v>0.9049773755656109</v>
      </c>
      <c r="S15" s="10">
        <f t="shared" si="10"/>
        <v>0.9029753036254459</v>
      </c>
      <c r="T15" s="127">
        <f t="shared" si="17"/>
        <v>1.4958904109589042</v>
      </c>
      <c r="U15" s="10">
        <f t="shared" si="18"/>
        <v>0.9005835573082996</v>
      </c>
      <c r="V15" s="10">
        <f t="shared" si="19"/>
        <v>0.9037432960423794</v>
      </c>
      <c r="W15" s="10">
        <f t="shared" si="20"/>
        <v>0.905213035067705</v>
      </c>
      <c r="X15" s="10">
        <f t="shared" si="21"/>
        <v>0.9032263492655037</v>
      </c>
      <c r="Y15" s="10">
        <f t="shared" si="22"/>
        <v>-0.000259034722034035</v>
      </c>
      <c r="Z15" s="10">
        <f t="shared" si="23"/>
        <v>-0.00025125020531069353</v>
      </c>
      <c r="AA15" s="10">
        <f t="shared" si="24"/>
        <v>-0.00023565950209414321</v>
      </c>
      <c r="AB15" s="10">
        <f t="shared" si="25"/>
        <v>-0.00025104564005784535</v>
      </c>
      <c r="AC15" s="127">
        <f t="shared" si="11"/>
        <v>0.9003245225862656</v>
      </c>
      <c r="AD15" s="99">
        <f t="shared" si="12"/>
        <v>0.07</v>
      </c>
      <c r="AE15" s="99">
        <f t="shared" si="13"/>
        <v>0.07250818125421632</v>
      </c>
      <c r="AF15" s="99">
        <f t="shared" si="14"/>
        <v>0.07380707357047016</v>
      </c>
      <c r="AG15" s="127">
        <f t="shared" si="15"/>
        <v>1.4958904109589042</v>
      </c>
      <c r="AH15" s="99">
        <f t="shared" si="26"/>
        <v>0.07019230769230769</v>
      </c>
      <c r="AI15" s="99">
        <f t="shared" si="27"/>
        <v>0.07271445266068799</v>
      </c>
      <c r="AJ15" s="99">
        <f t="shared" si="28"/>
        <v>0.07400984025610331</v>
      </c>
      <c r="AK15" s="99">
        <f t="shared" si="29"/>
        <v>-0.00019230769230768607</v>
      </c>
      <c r="AL15" s="99">
        <f t="shared" si="30"/>
        <v>-0.00020627140647166975</v>
      </c>
      <c r="AM15" s="99">
        <f t="shared" si="31"/>
        <v>-0.00020276668563315448</v>
      </c>
      <c r="AN15" s="99">
        <f t="shared" si="32"/>
        <v>0.002508181254216313</v>
      </c>
      <c r="AO15" s="99">
        <f t="shared" si="33"/>
        <v>0.0038070735704701514</v>
      </c>
      <c r="AP15" s="127">
        <f t="shared" si="34"/>
        <v>0.11071061035570517</v>
      </c>
      <c r="AQ15" s="10">
        <f t="shared" si="35"/>
        <v>1.1107106103557052</v>
      </c>
      <c r="AR15" s="10">
        <f t="shared" si="36"/>
        <v>1.1068166063083804</v>
      </c>
      <c r="AS15" s="10">
        <f t="shared" si="37"/>
        <v>1.105</v>
      </c>
      <c r="AT15" s="10">
        <f t="shared" si="38"/>
        <v>1.10745</v>
      </c>
    </row>
    <row r="16" spans="1:46" ht="12.75">
      <c r="A16" s="125">
        <v>36434</v>
      </c>
      <c r="B16" s="125">
        <v>37681</v>
      </c>
      <c r="C16" s="99">
        <v>0.07</v>
      </c>
      <c r="D16" s="126">
        <f t="shared" si="0"/>
        <v>1247</v>
      </c>
      <c r="E16" s="127">
        <f t="shared" si="1"/>
        <v>3.4164383561643836</v>
      </c>
      <c r="F16" s="127">
        <f t="shared" si="2"/>
        <v>3.463888888888889</v>
      </c>
      <c r="G16" s="127">
        <f t="shared" si="3"/>
        <v>3.4166666666666665</v>
      </c>
      <c r="H16" s="127">
        <f t="shared" si="4"/>
        <v>3.4166666666666665</v>
      </c>
      <c r="I16" s="127">
        <f t="shared" si="5"/>
        <v>3.413698630136986</v>
      </c>
      <c r="J16" s="126">
        <f t="shared" si="39"/>
        <v>1247</v>
      </c>
      <c r="K16" s="126">
        <f t="shared" si="40"/>
        <v>1247</v>
      </c>
      <c r="L16" s="126">
        <f t="shared" si="41"/>
        <v>1230</v>
      </c>
      <c r="M16" s="126">
        <f t="shared" si="42"/>
        <v>1230</v>
      </c>
      <c r="N16" s="126">
        <f t="shared" si="43"/>
        <v>1247</v>
      </c>
      <c r="O16" s="127">
        <f t="shared" si="6"/>
        <v>3.4166666666666665</v>
      </c>
      <c r="P16" s="10">
        <f t="shared" si="7"/>
        <v>0.7872836574946694</v>
      </c>
      <c r="Q16" s="10">
        <f t="shared" si="8"/>
        <v>0.7936068837632942</v>
      </c>
      <c r="R16" s="10">
        <f t="shared" si="9"/>
        <v>0.8069939475453933</v>
      </c>
      <c r="S16" s="10">
        <f t="shared" si="10"/>
        <v>0.7931639289627711</v>
      </c>
      <c r="T16" s="127">
        <f t="shared" si="17"/>
        <v>3.413698630136986</v>
      </c>
      <c r="U16" s="10">
        <f t="shared" si="18"/>
        <v>0.7874472425533325</v>
      </c>
      <c r="V16" s="10">
        <f t="shared" si="19"/>
        <v>0.7937662666150095</v>
      </c>
      <c r="W16" s="10">
        <f t="shared" si="20"/>
        <v>0.8071292733625227</v>
      </c>
      <c r="X16" s="10">
        <f t="shared" si="21"/>
        <v>0.7933240809041215</v>
      </c>
      <c r="Y16" s="10">
        <f t="shared" si="22"/>
        <v>-0.00016358505866309603</v>
      </c>
      <c r="Z16" s="10">
        <f t="shared" si="23"/>
        <v>-0.00015938285171523958</v>
      </c>
      <c r="AA16" s="10">
        <f t="shared" si="24"/>
        <v>-0.00013532581712938363</v>
      </c>
      <c r="AB16" s="10">
        <f t="shared" si="25"/>
        <v>-0.0001601519413504393</v>
      </c>
      <c r="AC16" s="127">
        <f t="shared" si="11"/>
        <v>0.7872836574946694</v>
      </c>
      <c r="AD16" s="99">
        <f t="shared" si="12"/>
        <v>0.06999999999999999</v>
      </c>
      <c r="AE16" s="99">
        <f t="shared" si="13"/>
        <v>0.07250818125421632</v>
      </c>
      <c r="AF16" s="99">
        <f t="shared" si="14"/>
        <v>0.07908006360375743</v>
      </c>
      <c r="AG16" s="127">
        <f t="shared" si="15"/>
        <v>3.413698630136986</v>
      </c>
      <c r="AH16" s="99">
        <f t="shared" si="26"/>
        <v>0.07006086142322096</v>
      </c>
      <c r="AI16" s="99">
        <f t="shared" si="27"/>
        <v>0.07257345761492973</v>
      </c>
      <c r="AJ16" s="99">
        <f t="shared" si="28"/>
        <v>0.07914881967831928</v>
      </c>
      <c r="AK16" s="99">
        <f t="shared" si="29"/>
        <v>-6.086142322096755E-05</v>
      </c>
      <c r="AL16" s="99">
        <f t="shared" si="30"/>
        <v>-6.527636071340659E-05</v>
      </c>
      <c r="AM16" s="99">
        <f t="shared" si="31"/>
        <v>-6.875607456185984E-05</v>
      </c>
      <c r="AN16" s="99">
        <f t="shared" si="32"/>
        <v>0.0025081812542163268</v>
      </c>
      <c r="AO16" s="99">
        <f t="shared" si="33"/>
        <v>0.009080063603757432</v>
      </c>
      <c r="AP16" s="127">
        <f t="shared" si="34"/>
        <v>0.2701902173128379</v>
      </c>
      <c r="AQ16" s="10">
        <f t="shared" si="35"/>
        <v>1.2701902173128379</v>
      </c>
      <c r="AR16" s="10">
        <f t="shared" si="36"/>
        <v>1.2600697151944888</v>
      </c>
      <c r="AS16" s="10">
        <f t="shared" si="37"/>
        <v>1.2391666666666667</v>
      </c>
      <c r="AT16" s="10">
        <f t="shared" si="38"/>
        <v>1.2607734208333334</v>
      </c>
    </row>
    <row r="17" spans="1:46" ht="12.75">
      <c r="A17" s="125">
        <v>36465</v>
      </c>
      <c r="B17" s="125">
        <v>38047</v>
      </c>
      <c r="C17" s="99">
        <v>0.07</v>
      </c>
      <c r="D17" s="126">
        <f t="shared" si="0"/>
        <v>1582</v>
      </c>
      <c r="E17" s="127">
        <f t="shared" si="1"/>
        <v>4.3342465753424655</v>
      </c>
      <c r="F17" s="127">
        <f t="shared" si="2"/>
        <v>4.394444444444445</v>
      </c>
      <c r="G17" s="127">
        <f t="shared" si="3"/>
        <v>4.333333333333333</v>
      </c>
      <c r="H17" s="127">
        <f t="shared" si="4"/>
        <v>4.333333333333333</v>
      </c>
      <c r="I17" s="127">
        <f t="shared" si="5"/>
        <v>4.331057713900741</v>
      </c>
      <c r="J17" s="126">
        <f t="shared" si="39"/>
        <v>1582</v>
      </c>
      <c r="K17" s="126">
        <f t="shared" si="40"/>
        <v>1582.0000000000002</v>
      </c>
      <c r="L17" s="126">
        <f t="shared" si="41"/>
        <v>1560</v>
      </c>
      <c r="M17" s="126">
        <f t="shared" si="42"/>
        <v>1560</v>
      </c>
      <c r="N17" s="126">
        <f t="shared" si="43"/>
        <v>1582</v>
      </c>
      <c r="O17" s="127">
        <f t="shared" si="6"/>
        <v>4.333333333333333</v>
      </c>
      <c r="P17" s="10">
        <f t="shared" si="7"/>
        <v>0.7383529377004167</v>
      </c>
      <c r="Q17" s="10">
        <f t="shared" si="8"/>
        <v>0.7458822920229323</v>
      </c>
      <c r="R17" s="10">
        <f t="shared" si="9"/>
        <v>0.7672634271099745</v>
      </c>
      <c r="S17" s="10">
        <f t="shared" si="10"/>
        <v>0.7455002072125654</v>
      </c>
      <c r="T17" s="127">
        <f t="shared" si="17"/>
        <v>4.331057713900741</v>
      </c>
      <c r="U17" s="10">
        <f t="shared" si="18"/>
        <v>0.7384705617890561</v>
      </c>
      <c r="V17" s="10">
        <f t="shared" si="19"/>
        <v>0.7459971408812253</v>
      </c>
      <c r="W17" s="10">
        <f t="shared" si="20"/>
        <v>0.7673572134852217</v>
      </c>
      <c r="X17" s="10">
        <f t="shared" si="21"/>
        <v>0.7456162707838231</v>
      </c>
      <c r="Y17" s="10">
        <f t="shared" si="22"/>
        <v>-0.0001176240886394675</v>
      </c>
      <c r="Z17" s="10">
        <f t="shared" si="23"/>
        <v>-0.00011484885829293745</v>
      </c>
      <c r="AA17" s="10">
        <f t="shared" si="24"/>
        <v>-9.378637524715128E-05</v>
      </c>
      <c r="AB17" s="10">
        <f t="shared" si="25"/>
        <v>-0.00011606357125770739</v>
      </c>
      <c r="AC17" s="127">
        <f t="shared" si="11"/>
        <v>0.7383529377004167</v>
      </c>
      <c r="AD17" s="99">
        <f t="shared" si="12"/>
        <v>0.07</v>
      </c>
      <c r="AE17" s="99">
        <f t="shared" si="13"/>
        <v>0.07250818125421632</v>
      </c>
      <c r="AF17" s="99">
        <f t="shared" si="14"/>
        <v>0.08177673334375328</v>
      </c>
      <c r="AG17" s="127">
        <f t="shared" si="15"/>
        <v>4.331057713900741</v>
      </c>
      <c r="AH17" s="99">
        <f t="shared" si="26"/>
        <v>0.0700367793206196</v>
      </c>
      <c r="AI17" s="99">
        <f t="shared" si="27"/>
        <v>0.07254762810189175</v>
      </c>
      <c r="AJ17" s="99">
        <f t="shared" si="28"/>
        <v>0.08181970038225146</v>
      </c>
      <c r="AK17" s="99">
        <f t="shared" si="29"/>
        <v>-3.677932061958711E-05</v>
      </c>
      <c r="AL17" s="99">
        <f t="shared" si="30"/>
        <v>-3.944684767542839E-05</v>
      </c>
      <c r="AM17" s="99">
        <f t="shared" si="31"/>
        <v>-4.296703849818173E-05</v>
      </c>
      <c r="AN17" s="99">
        <f t="shared" si="32"/>
        <v>0.002508181254216313</v>
      </c>
      <c r="AO17" s="99">
        <f t="shared" si="33"/>
        <v>0.011776733343753273</v>
      </c>
      <c r="AP17" s="127">
        <f t="shared" si="34"/>
        <v>0.3543658444895976</v>
      </c>
      <c r="AQ17" s="10">
        <f t="shared" si="35"/>
        <v>1.3543658444895976</v>
      </c>
      <c r="AR17" s="10">
        <f t="shared" si="36"/>
        <v>1.3406941158072898</v>
      </c>
      <c r="AS17" s="10">
        <f t="shared" si="37"/>
        <v>1.3033333333333332</v>
      </c>
      <c r="AT17" s="10">
        <f t="shared" si="38"/>
        <v>1.3413812502333333</v>
      </c>
    </row>
    <row r="18" spans="1:46" ht="12.75">
      <c r="A18" s="125">
        <v>36526</v>
      </c>
      <c r="B18" s="125">
        <v>36892</v>
      </c>
      <c r="C18" s="99">
        <v>0.07</v>
      </c>
      <c r="D18" s="126">
        <f t="shared" si="0"/>
        <v>366</v>
      </c>
      <c r="E18" s="127">
        <f t="shared" si="1"/>
        <v>1.0027397260273974</v>
      </c>
      <c r="F18" s="127">
        <f t="shared" si="2"/>
        <v>1.0166666666666666</v>
      </c>
      <c r="G18" s="127">
        <f t="shared" si="3"/>
        <v>1</v>
      </c>
      <c r="H18" s="127">
        <f t="shared" si="4"/>
        <v>1</v>
      </c>
      <c r="I18" s="127">
        <f t="shared" si="5"/>
        <v>1</v>
      </c>
      <c r="J18" s="126">
        <f t="shared" si="39"/>
        <v>366.00000000000006</v>
      </c>
      <c r="K18" s="126">
        <f t="shared" si="40"/>
        <v>366</v>
      </c>
      <c r="L18" s="126">
        <f t="shared" si="41"/>
        <v>360</v>
      </c>
      <c r="M18" s="126">
        <f t="shared" si="42"/>
        <v>360</v>
      </c>
      <c r="N18" s="126">
        <f t="shared" si="43"/>
        <v>366</v>
      </c>
      <c r="O18" s="127">
        <f t="shared" si="6"/>
        <v>1</v>
      </c>
      <c r="P18" s="10">
        <f t="shared" si="7"/>
        <v>0.9323938199059483</v>
      </c>
      <c r="Q18" s="10">
        <f t="shared" si="8"/>
        <v>0.9345794392523364</v>
      </c>
      <c r="R18" s="10">
        <f t="shared" si="9"/>
        <v>0.9345794392523364</v>
      </c>
      <c r="S18" s="10">
        <f t="shared" si="10"/>
        <v>0.9345794392523364</v>
      </c>
      <c r="T18" s="127">
        <f t="shared" si="17"/>
        <v>1</v>
      </c>
      <c r="U18" s="10">
        <f t="shared" si="18"/>
        <v>0.9323938199059483</v>
      </c>
      <c r="V18" s="10">
        <f t="shared" si="19"/>
        <v>0.9345794392523364</v>
      </c>
      <c r="W18" s="10">
        <f t="shared" si="20"/>
        <v>0.9345794392523364</v>
      </c>
      <c r="X18" s="10">
        <f t="shared" si="21"/>
        <v>0.9345794392523364</v>
      </c>
      <c r="Y18" s="10">
        <f t="shared" si="22"/>
        <v>0</v>
      </c>
      <c r="Z18" s="10">
        <f t="shared" si="23"/>
        <v>0</v>
      </c>
      <c r="AA18" s="10">
        <f t="shared" si="24"/>
        <v>0</v>
      </c>
      <c r="AB18" s="10">
        <f t="shared" si="25"/>
        <v>0</v>
      </c>
      <c r="AC18" s="127">
        <f t="shared" si="11"/>
        <v>0.9323938199059483</v>
      </c>
      <c r="AD18" s="99">
        <f t="shared" si="12"/>
        <v>0.06999999999999995</v>
      </c>
      <c r="AE18" s="99">
        <f t="shared" si="13"/>
        <v>0.07250818125421632</v>
      </c>
      <c r="AF18" s="99">
        <f t="shared" si="14"/>
        <v>0.07250818125421643</v>
      </c>
      <c r="AG18" s="127">
        <f t="shared" si="15"/>
        <v>1</v>
      </c>
      <c r="AH18" s="99">
        <f t="shared" si="26"/>
        <v>0.06999999999999995</v>
      </c>
      <c r="AI18" s="99">
        <f t="shared" si="27"/>
        <v>0.07250818125421632</v>
      </c>
      <c r="AJ18" s="99">
        <f t="shared" si="28"/>
        <v>0.07250818125421643</v>
      </c>
      <c r="AK18" s="99">
        <f t="shared" si="29"/>
        <v>0</v>
      </c>
      <c r="AL18" s="99">
        <f t="shared" si="30"/>
        <v>0</v>
      </c>
      <c r="AM18" s="99">
        <f t="shared" si="31"/>
        <v>0</v>
      </c>
      <c r="AN18" s="99">
        <f t="shared" si="32"/>
        <v>0.0025081812542163684</v>
      </c>
      <c r="AO18" s="99">
        <f t="shared" si="33"/>
        <v>0.0025081812542164794</v>
      </c>
      <c r="AP18" s="127">
        <f t="shared" si="34"/>
        <v>0.07250818125421632</v>
      </c>
      <c r="AQ18" s="10">
        <f t="shared" si="35"/>
        <v>1.0725081812542163</v>
      </c>
      <c r="AR18" s="10">
        <f t="shared" si="36"/>
        <v>1.07</v>
      </c>
      <c r="AS18" s="10">
        <f t="shared" si="37"/>
        <v>1.07</v>
      </c>
      <c r="AT18" s="10">
        <f t="shared" si="38"/>
        <v>1.07</v>
      </c>
    </row>
    <row r="19" spans="1:46" ht="12.75">
      <c r="A19" s="125">
        <v>36586</v>
      </c>
      <c r="B19" s="125">
        <v>36951</v>
      </c>
      <c r="C19" s="99">
        <v>0.07</v>
      </c>
      <c r="D19" s="126">
        <f t="shared" si="0"/>
        <v>365</v>
      </c>
      <c r="E19" s="127">
        <f t="shared" si="1"/>
        <v>1</v>
      </c>
      <c r="F19" s="127">
        <f t="shared" si="2"/>
        <v>1.0138888888888888</v>
      </c>
      <c r="G19" s="127">
        <f t="shared" si="3"/>
        <v>1</v>
      </c>
      <c r="H19" s="127">
        <f t="shared" si="4"/>
        <v>1</v>
      </c>
      <c r="I19" s="127">
        <f t="shared" si="5"/>
        <v>0.9977094093869303</v>
      </c>
      <c r="J19" s="126">
        <f t="shared" si="39"/>
        <v>365</v>
      </c>
      <c r="K19" s="126">
        <f t="shared" si="40"/>
        <v>365</v>
      </c>
      <c r="L19" s="126">
        <f t="shared" si="41"/>
        <v>360</v>
      </c>
      <c r="M19" s="126">
        <f t="shared" si="42"/>
        <v>360</v>
      </c>
      <c r="N19" s="126">
        <f t="shared" si="43"/>
        <v>365</v>
      </c>
      <c r="O19" s="127">
        <f t="shared" si="6"/>
        <v>1</v>
      </c>
      <c r="P19" s="10">
        <f t="shared" si="7"/>
        <v>0.9323938199059483</v>
      </c>
      <c r="Q19" s="10">
        <f t="shared" si="8"/>
        <v>0.9345794392523364</v>
      </c>
      <c r="R19" s="10">
        <f t="shared" si="9"/>
        <v>0.9345794392523364</v>
      </c>
      <c r="S19" s="10">
        <f t="shared" si="10"/>
        <v>0.9345794392523364</v>
      </c>
      <c r="T19" s="127">
        <f t="shared" si="17"/>
        <v>0.9977094093869303</v>
      </c>
      <c r="U19" s="10">
        <f t="shared" si="18"/>
        <v>0.9325433331694158</v>
      </c>
      <c r="V19" s="10">
        <f t="shared" si="19"/>
        <v>0.9347242899764848</v>
      </c>
      <c r="W19" s="10">
        <f t="shared" si="20"/>
        <v>0.9347195085806118</v>
      </c>
      <c r="X19" s="10">
        <f t="shared" si="21"/>
        <v>0.9347195085806118</v>
      </c>
      <c r="Y19" s="10">
        <f t="shared" si="22"/>
        <v>-0.0001495132634675711</v>
      </c>
      <c r="Z19" s="10">
        <f t="shared" si="23"/>
        <v>-0.00014485072414838207</v>
      </c>
      <c r="AA19" s="10">
        <f t="shared" si="24"/>
        <v>-0.00014006932827537177</v>
      </c>
      <c r="AB19" s="10">
        <f t="shared" si="25"/>
        <v>-0.00014006932827537177</v>
      </c>
      <c r="AC19" s="127">
        <f t="shared" si="11"/>
        <v>0.9323938199059483</v>
      </c>
      <c r="AD19" s="99">
        <f t="shared" si="12"/>
        <v>0.06999999999999995</v>
      </c>
      <c r="AE19" s="99">
        <f t="shared" si="13"/>
        <v>0.07250818125421632</v>
      </c>
      <c r="AF19" s="99">
        <f t="shared" si="14"/>
        <v>0.07250818125421643</v>
      </c>
      <c r="AG19" s="127">
        <f t="shared" si="15"/>
        <v>0.9977094093869303</v>
      </c>
      <c r="AH19" s="99">
        <f t="shared" si="26"/>
        <v>0.07016070946250107</v>
      </c>
      <c r="AI19" s="99">
        <f t="shared" si="27"/>
        <v>0.07268055731841505</v>
      </c>
      <c r="AJ19" s="99">
        <f t="shared" si="28"/>
        <v>0.0726746491233064</v>
      </c>
      <c r="AK19" s="99">
        <f t="shared" si="29"/>
        <v>-0.00016070946250111573</v>
      </c>
      <c r="AL19" s="99">
        <f t="shared" si="30"/>
        <v>-0.00017237606419873153</v>
      </c>
      <c r="AM19" s="99">
        <f t="shared" si="31"/>
        <v>-0.00016646786908997013</v>
      </c>
      <c r="AN19" s="99">
        <f t="shared" si="32"/>
        <v>0.0025081812542163684</v>
      </c>
      <c r="AO19" s="99">
        <f t="shared" si="33"/>
        <v>0.0025081812542164794</v>
      </c>
      <c r="AP19" s="127">
        <f t="shared" si="34"/>
        <v>0.07250818125421632</v>
      </c>
      <c r="AQ19" s="10">
        <f t="shared" si="35"/>
        <v>1.0725081812542163</v>
      </c>
      <c r="AR19" s="10">
        <f t="shared" si="36"/>
        <v>1.07</v>
      </c>
      <c r="AS19" s="10">
        <f t="shared" si="37"/>
        <v>1.07</v>
      </c>
      <c r="AT19" s="10">
        <f t="shared" si="38"/>
        <v>1.07</v>
      </c>
    </row>
    <row r="20" spans="1:46" ht="12.75">
      <c r="A20" s="125">
        <v>36586</v>
      </c>
      <c r="B20" s="125">
        <v>36952</v>
      </c>
      <c r="C20" s="99">
        <v>0.07</v>
      </c>
      <c r="D20" s="126">
        <f t="shared" si="0"/>
        <v>366</v>
      </c>
      <c r="E20" s="127">
        <f t="shared" si="1"/>
        <v>1.0027397260273974</v>
      </c>
      <c r="F20" s="127">
        <f t="shared" si="2"/>
        <v>1.0166666666666666</v>
      </c>
      <c r="G20" s="127">
        <f t="shared" si="3"/>
        <v>1.0027777777777778</v>
      </c>
      <c r="H20" s="127">
        <f t="shared" si="4"/>
        <v>1.0027777777777778</v>
      </c>
      <c r="I20" s="127">
        <f t="shared" si="5"/>
        <v>1.0004491354143275</v>
      </c>
      <c r="J20" s="126">
        <f aca="true" t="shared" si="44" ref="J20:J30">365*E20</f>
        <v>366.00000000000006</v>
      </c>
      <c r="K20" s="126">
        <f aca="true" t="shared" si="45" ref="K20:K30">360*F20</f>
        <v>366</v>
      </c>
      <c r="L20" s="126">
        <f aca="true" t="shared" si="46" ref="L20:L30">360*G20</f>
        <v>361</v>
      </c>
      <c r="M20" s="126">
        <f aca="true" t="shared" si="47" ref="M20:M31">360*H20</f>
        <v>361</v>
      </c>
      <c r="N20" s="126">
        <f aca="true" t="shared" si="48" ref="N20:N30">D20</f>
        <v>366</v>
      </c>
      <c r="O20" s="127">
        <f t="shared" si="6"/>
        <v>1.0027777777777778</v>
      </c>
      <c r="P20" s="10">
        <f t="shared" si="7"/>
        <v>0.9322125387327629</v>
      </c>
      <c r="Q20" s="10">
        <f t="shared" si="8"/>
        <v>0.9344038102519066</v>
      </c>
      <c r="R20" s="10">
        <f t="shared" si="9"/>
        <v>0.9344096348015677</v>
      </c>
      <c r="S20" s="10">
        <f t="shared" si="10"/>
        <v>0.9343977508007919</v>
      </c>
      <c r="T20" s="127">
        <f t="shared" si="17"/>
        <v>1.0004491354143275</v>
      </c>
      <c r="U20" s="10">
        <f t="shared" si="18"/>
        <v>0.9323645063908281</v>
      </c>
      <c r="V20" s="10">
        <f t="shared" si="19"/>
        <v>0.9345510397818618</v>
      </c>
      <c r="W20" s="10">
        <f t="shared" si="20"/>
        <v>0.934551979600617</v>
      </c>
      <c r="X20" s="10">
        <f t="shared" si="21"/>
        <v>0.934550057485427</v>
      </c>
      <c r="Y20" s="10">
        <f t="shared" si="22"/>
        <v>-0.00015196765806524404</v>
      </c>
      <c r="Z20" s="10">
        <f t="shared" si="23"/>
        <v>-0.00014722952995527283</v>
      </c>
      <c r="AA20" s="10">
        <f t="shared" si="24"/>
        <v>-0.00014234479904928765</v>
      </c>
      <c r="AB20" s="10">
        <f t="shared" si="25"/>
        <v>-0.0001523066846350618</v>
      </c>
      <c r="AC20" s="127">
        <f t="shared" si="11"/>
        <v>0.9322125387327629</v>
      </c>
      <c r="AD20" s="99">
        <f t="shared" si="12"/>
        <v>0.06999999999999997</v>
      </c>
      <c r="AE20" s="99">
        <f t="shared" si="13"/>
        <v>0.07250818125421632</v>
      </c>
      <c r="AF20" s="99">
        <f t="shared" si="14"/>
        <v>0.07251531336203001</v>
      </c>
      <c r="AG20" s="127">
        <f t="shared" si="15"/>
        <v>1.0004491354143275</v>
      </c>
      <c r="AH20" s="99">
        <f t="shared" si="26"/>
        <v>0.07016293178700582</v>
      </c>
      <c r="AI20" s="99">
        <f t="shared" si="27"/>
        <v>0.07268294116535223</v>
      </c>
      <c r="AJ20" s="99">
        <f t="shared" si="28"/>
        <v>0.0726840997847638</v>
      </c>
      <c r="AK20" s="99">
        <f t="shared" si="29"/>
        <v>-0.00016293178700585442</v>
      </c>
      <c r="AL20" s="99">
        <f t="shared" si="30"/>
        <v>-0.00017475991113591327</v>
      </c>
      <c r="AM20" s="99">
        <f t="shared" si="31"/>
        <v>-0.00016878642273378264</v>
      </c>
      <c r="AN20" s="99">
        <f t="shared" si="32"/>
        <v>0.0025081812542163545</v>
      </c>
      <c r="AO20" s="99">
        <f t="shared" si="33"/>
        <v>0.00251531336203005</v>
      </c>
      <c r="AP20" s="127">
        <f t="shared" si="34"/>
        <v>0.07271674478803569</v>
      </c>
      <c r="AQ20" s="10">
        <f t="shared" si="35"/>
        <v>1.0727167447880357</v>
      </c>
      <c r="AR20" s="10">
        <f t="shared" si="36"/>
        <v>1.0702011154368145</v>
      </c>
      <c r="AS20" s="10">
        <f t="shared" si="37"/>
        <v>1.0701944444444444</v>
      </c>
      <c r="AT20" s="10">
        <f t="shared" si="38"/>
        <v>1.0702080555555555</v>
      </c>
    </row>
    <row r="21" spans="1:46" ht="12.75">
      <c r="A21" s="125">
        <v>36586</v>
      </c>
      <c r="B21" s="125">
        <v>36953</v>
      </c>
      <c r="C21" s="99">
        <v>0.07</v>
      </c>
      <c r="D21" s="126">
        <f t="shared" si="0"/>
        <v>367</v>
      </c>
      <c r="E21" s="127">
        <f t="shared" si="1"/>
        <v>1.0054794520547945</v>
      </c>
      <c r="F21" s="127">
        <f t="shared" si="2"/>
        <v>1.0194444444444444</v>
      </c>
      <c r="G21" s="127">
        <f t="shared" si="3"/>
        <v>1.0055555555555555</v>
      </c>
      <c r="H21" s="127">
        <f t="shared" si="4"/>
        <v>1.0055555555555555</v>
      </c>
      <c r="I21" s="127">
        <f t="shared" si="5"/>
        <v>1.0031888614417248</v>
      </c>
      <c r="J21" s="126">
        <f t="shared" si="44"/>
        <v>367</v>
      </c>
      <c r="K21" s="126">
        <f t="shared" si="45"/>
        <v>367</v>
      </c>
      <c r="L21" s="126">
        <f t="shared" si="46"/>
        <v>362</v>
      </c>
      <c r="M21" s="126">
        <f t="shared" si="47"/>
        <v>362</v>
      </c>
      <c r="N21" s="126">
        <f t="shared" si="48"/>
        <v>367</v>
      </c>
      <c r="O21" s="127">
        <f t="shared" si="6"/>
        <v>1.0055555555555555</v>
      </c>
      <c r="P21" s="10">
        <f t="shared" si="7"/>
        <v>0.9320312928052678</v>
      </c>
      <c r="Q21" s="10">
        <f t="shared" si="8"/>
        <v>0.9342282142562108</v>
      </c>
      <c r="R21" s="10">
        <f t="shared" si="9"/>
        <v>0.9342398920433903</v>
      </c>
      <c r="S21" s="10">
        <f t="shared" si="10"/>
        <v>0.9342161329784003</v>
      </c>
      <c r="T21" s="127">
        <f t="shared" si="17"/>
        <v>1.0031888614417248</v>
      </c>
      <c r="U21" s="10">
        <f t="shared" si="18"/>
        <v>0.9321857139044984</v>
      </c>
      <c r="V21" s="10">
        <f t="shared" si="19"/>
        <v>0.9343778216989859</v>
      </c>
      <c r="W21" s="10">
        <f t="shared" si="20"/>
        <v>0.9343845106620133</v>
      </c>
      <c r="X21" s="10">
        <f t="shared" si="21"/>
        <v>0.9343708687058524</v>
      </c>
      <c r="Y21" s="10">
        <f t="shared" si="22"/>
        <v>-0.00015442109923069491</v>
      </c>
      <c r="Z21" s="10">
        <f t="shared" si="23"/>
        <v>-0.0001496074427750349</v>
      </c>
      <c r="AA21" s="10">
        <f t="shared" si="24"/>
        <v>-0.00014461861862302694</v>
      </c>
      <c r="AB21" s="10">
        <f t="shared" si="25"/>
        <v>-0.00015473572745206</v>
      </c>
      <c r="AC21" s="127">
        <f t="shared" si="11"/>
        <v>0.9320312928052678</v>
      </c>
      <c r="AD21" s="99">
        <f t="shared" si="12"/>
        <v>0.06999999999999997</v>
      </c>
      <c r="AE21" s="99">
        <f t="shared" si="13"/>
        <v>0.07250818125421632</v>
      </c>
      <c r="AF21" s="99">
        <f t="shared" si="14"/>
        <v>0.07252244639981932</v>
      </c>
      <c r="AG21" s="127">
        <f t="shared" si="15"/>
        <v>1.0031888614417248</v>
      </c>
      <c r="AH21" s="99">
        <f t="shared" si="26"/>
        <v>0.07016514197309769</v>
      </c>
      <c r="AI21" s="99">
        <f t="shared" si="27"/>
        <v>0.07268531199688977</v>
      </c>
      <c r="AJ21" s="99">
        <f t="shared" si="28"/>
        <v>0.07269353925542418</v>
      </c>
      <c r="AK21" s="99">
        <f t="shared" si="29"/>
        <v>-0.00016514197309772105</v>
      </c>
      <c r="AL21" s="99">
        <f t="shared" si="30"/>
        <v>-0.00017713074267344808</v>
      </c>
      <c r="AM21" s="99">
        <f t="shared" si="31"/>
        <v>-0.00017109285560486243</v>
      </c>
      <c r="AN21" s="99">
        <f t="shared" si="32"/>
        <v>0.0025081812542163545</v>
      </c>
      <c r="AO21" s="99">
        <f t="shared" si="33"/>
        <v>0.002522446399819356</v>
      </c>
      <c r="AP21" s="127">
        <f t="shared" si="34"/>
        <v>0.07292534887981827</v>
      </c>
      <c r="AQ21" s="10">
        <f t="shared" si="35"/>
        <v>1.0729253488798183</v>
      </c>
      <c r="AR21" s="10">
        <f t="shared" si="36"/>
        <v>1.070402268674955</v>
      </c>
      <c r="AS21" s="10">
        <f t="shared" si="37"/>
        <v>1.0703888888888888</v>
      </c>
      <c r="AT21" s="10">
        <f t="shared" si="38"/>
        <v>1.0704161111111112</v>
      </c>
    </row>
    <row r="22" spans="1:46" ht="12.75">
      <c r="A22" s="125">
        <v>36586</v>
      </c>
      <c r="B22" s="125">
        <v>36954</v>
      </c>
      <c r="C22" s="99">
        <v>0.07</v>
      </c>
      <c r="D22" s="126">
        <f t="shared" si="0"/>
        <v>368</v>
      </c>
      <c r="E22" s="127">
        <f t="shared" si="1"/>
        <v>1.0082191780821919</v>
      </c>
      <c r="F22" s="127">
        <f t="shared" si="2"/>
        <v>1.0222222222222221</v>
      </c>
      <c r="G22" s="127">
        <f t="shared" si="3"/>
        <v>1.0083333333333333</v>
      </c>
      <c r="H22" s="127">
        <f t="shared" si="4"/>
        <v>1.0083333333333333</v>
      </c>
      <c r="I22" s="127">
        <f t="shared" si="5"/>
        <v>1.005928587469122</v>
      </c>
      <c r="J22" s="126">
        <f t="shared" si="44"/>
        <v>368</v>
      </c>
      <c r="K22" s="126">
        <f t="shared" si="45"/>
        <v>368</v>
      </c>
      <c r="L22" s="126">
        <f t="shared" si="46"/>
        <v>363</v>
      </c>
      <c r="M22" s="126">
        <f t="shared" si="47"/>
        <v>363</v>
      </c>
      <c r="N22" s="126">
        <f t="shared" si="48"/>
        <v>368</v>
      </c>
      <c r="O22" s="127">
        <f t="shared" si="6"/>
        <v>1.0083333333333333</v>
      </c>
      <c r="P22" s="10">
        <f t="shared" si="7"/>
        <v>0.9318500821166101</v>
      </c>
      <c r="Q22" s="10">
        <f t="shared" si="8"/>
        <v>0.9340526512590468</v>
      </c>
      <c r="R22" s="10">
        <f t="shared" si="9"/>
        <v>0.9340702109441892</v>
      </c>
      <c r="S22" s="10">
        <f t="shared" si="10"/>
        <v>0.9340345857439858</v>
      </c>
      <c r="T22" s="127">
        <f t="shared" si="17"/>
        <v>1.005928587469122</v>
      </c>
      <c r="U22" s="10">
        <f t="shared" si="18"/>
        <v>0.932006955703851</v>
      </c>
      <c r="V22" s="10">
        <f t="shared" si="19"/>
        <v>0.9342046357219052</v>
      </c>
      <c r="W22" s="10">
        <f t="shared" si="20"/>
        <v>0.9342171017325289</v>
      </c>
      <c r="X22" s="10">
        <f t="shared" si="21"/>
        <v>0.9341917486277095</v>
      </c>
      <c r="Y22" s="10">
        <f t="shared" si="22"/>
        <v>-0.00015687358724081335</v>
      </c>
      <c r="Z22" s="10">
        <f t="shared" si="23"/>
        <v>-0.00015198446285835665</v>
      </c>
      <c r="AA22" s="10">
        <f t="shared" si="24"/>
        <v>-0.00014689078833973745</v>
      </c>
      <c r="AB22" s="10">
        <f t="shared" si="25"/>
        <v>-0.0001571628837236938</v>
      </c>
      <c r="AC22" s="127">
        <f t="shared" si="11"/>
        <v>0.9318500821166101</v>
      </c>
      <c r="AD22" s="99">
        <f t="shared" si="12"/>
        <v>0.07000000000000002</v>
      </c>
      <c r="AE22" s="99">
        <f t="shared" si="13"/>
        <v>0.07250818125421654</v>
      </c>
      <c r="AF22" s="99">
        <f t="shared" si="14"/>
        <v>0.07252958036772056</v>
      </c>
      <c r="AG22" s="127">
        <f t="shared" si="15"/>
        <v>1.005928587469122</v>
      </c>
      <c r="AH22" s="99">
        <f t="shared" si="26"/>
        <v>0.07016734011995655</v>
      </c>
      <c r="AI22" s="99">
        <f t="shared" si="27"/>
        <v>0.0726876699193304</v>
      </c>
      <c r="AJ22" s="99">
        <f t="shared" si="28"/>
        <v>0.07270296763456528</v>
      </c>
      <c r="AK22" s="99">
        <f t="shared" si="29"/>
        <v>-0.00016734011995653275</v>
      </c>
      <c r="AL22" s="99">
        <f t="shared" si="30"/>
        <v>-0.0001794886651138583</v>
      </c>
      <c r="AM22" s="99">
        <f t="shared" si="31"/>
        <v>-0.00017338726684472394</v>
      </c>
      <c r="AN22" s="99">
        <f t="shared" si="32"/>
        <v>0.002508181254216521</v>
      </c>
      <c r="AO22" s="99">
        <f t="shared" si="33"/>
        <v>0.002529580367720538</v>
      </c>
      <c r="AP22" s="127">
        <f t="shared" si="34"/>
        <v>0.07313399353745154</v>
      </c>
      <c r="AQ22" s="10">
        <f t="shared" si="35"/>
        <v>1.0731339935374515</v>
      </c>
      <c r="AR22" s="10">
        <f t="shared" si="36"/>
        <v>1.0706034597215266</v>
      </c>
      <c r="AS22" s="10">
        <f t="shared" si="37"/>
        <v>1.0705833333333334</v>
      </c>
      <c r="AT22" s="10">
        <f t="shared" si="38"/>
        <v>1.0706241666666667</v>
      </c>
    </row>
    <row r="23" spans="1:46" ht="12.75">
      <c r="A23" s="125">
        <v>34394</v>
      </c>
      <c r="B23" s="125">
        <v>36955</v>
      </c>
      <c r="C23" s="99">
        <v>0.07</v>
      </c>
      <c r="D23" s="126">
        <f t="shared" si="0"/>
        <v>2561</v>
      </c>
      <c r="E23" s="127">
        <f t="shared" si="1"/>
        <v>7.016438356164383</v>
      </c>
      <c r="F23" s="127">
        <f t="shared" si="2"/>
        <v>7.113888888888889</v>
      </c>
      <c r="G23" s="127">
        <f t="shared" si="3"/>
        <v>7.011111111111111</v>
      </c>
      <c r="H23" s="127">
        <f t="shared" si="4"/>
        <v>7.011111111111111</v>
      </c>
      <c r="I23" s="127">
        <f t="shared" si="5"/>
        <v>7.010958904109589</v>
      </c>
      <c r="J23" s="126">
        <f t="shared" si="44"/>
        <v>2561</v>
      </c>
      <c r="K23" s="126">
        <f t="shared" si="45"/>
        <v>2561</v>
      </c>
      <c r="L23" s="126">
        <f t="shared" si="46"/>
        <v>2524</v>
      </c>
      <c r="M23" s="126">
        <f t="shared" si="47"/>
        <v>2524</v>
      </c>
      <c r="N23" s="126">
        <f t="shared" si="48"/>
        <v>2561</v>
      </c>
      <c r="O23" s="127">
        <f t="shared" si="6"/>
        <v>7.011111111111111</v>
      </c>
      <c r="P23" s="10">
        <f t="shared" si="7"/>
        <v>0.6121500922414838</v>
      </c>
      <c r="Q23" s="10">
        <f t="shared" si="8"/>
        <v>0.6222817577478951</v>
      </c>
      <c r="R23" s="10">
        <f t="shared" si="9"/>
        <v>0.6707907878065141</v>
      </c>
      <c r="S23" s="10">
        <f t="shared" si="10"/>
        <v>0.6222657574066082</v>
      </c>
      <c r="T23" s="127">
        <f t="shared" si="17"/>
        <v>7.010958904109589</v>
      </c>
      <c r="U23" s="10">
        <f t="shared" si="18"/>
        <v>0.6121566144233305</v>
      </c>
      <c r="V23" s="10">
        <f t="shared" si="19"/>
        <v>0.6222881661131141</v>
      </c>
      <c r="W23" s="10">
        <f t="shared" si="20"/>
        <v>0.6707955819381397</v>
      </c>
      <c r="X23" s="10">
        <f t="shared" si="21"/>
        <v>0.6222723822488933</v>
      </c>
      <c r="Y23" s="10">
        <f t="shared" si="22"/>
        <v>-6.52218184671316E-06</v>
      </c>
      <c r="Z23" s="10">
        <f t="shared" si="23"/>
        <v>-6.408365219034984E-06</v>
      </c>
      <c r="AA23" s="10">
        <f t="shared" si="24"/>
        <v>-4.794131625573961E-06</v>
      </c>
      <c r="AB23" s="10">
        <f t="shared" si="25"/>
        <v>-6.6248422850856414E-06</v>
      </c>
      <c r="AC23" s="127">
        <f t="shared" si="11"/>
        <v>0.6121500922414838</v>
      </c>
      <c r="AD23" s="99">
        <f t="shared" si="12"/>
        <v>0.07</v>
      </c>
      <c r="AE23" s="99">
        <f t="shared" si="13"/>
        <v>0.07250818125421632</v>
      </c>
      <c r="AF23" s="99">
        <f t="shared" si="14"/>
        <v>0.09036888490994986</v>
      </c>
      <c r="AG23" s="127">
        <f t="shared" si="15"/>
        <v>7.010958904109589</v>
      </c>
      <c r="AH23" s="99">
        <f t="shared" si="26"/>
        <v>0.07000151969085146</v>
      </c>
      <c r="AI23" s="99">
        <f t="shared" si="27"/>
        <v>0.07250981113632604</v>
      </c>
      <c r="AJ23" s="99">
        <f t="shared" si="28"/>
        <v>0.09037084680663063</v>
      </c>
      <c r="AK23" s="99">
        <f t="shared" si="29"/>
        <v>-1.5196908514508722E-06</v>
      </c>
      <c r="AL23" s="99">
        <f t="shared" si="30"/>
        <v>-1.629882109721592E-06</v>
      </c>
      <c r="AM23" s="99">
        <f t="shared" si="31"/>
        <v>-1.961896680766073E-06</v>
      </c>
      <c r="AN23" s="99">
        <f t="shared" si="32"/>
        <v>0.002508181254216313</v>
      </c>
      <c r="AO23" s="99">
        <f t="shared" si="33"/>
        <v>0.020368884909949855</v>
      </c>
      <c r="AP23" s="127">
        <f t="shared" si="34"/>
        <v>0.6335862930908707</v>
      </c>
      <c r="AQ23" s="10">
        <f t="shared" si="35"/>
        <v>1.6335862930908707</v>
      </c>
      <c r="AR23" s="10">
        <f t="shared" si="36"/>
        <v>1.6069890970596794</v>
      </c>
      <c r="AS23" s="10">
        <f t="shared" si="37"/>
        <v>1.4907777777777778</v>
      </c>
      <c r="AT23" s="10">
        <f t="shared" si="38"/>
        <v>1.6070304176268024</v>
      </c>
    </row>
    <row r="24" spans="1:46" ht="12.75">
      <c r="A24" s="125">
        <v>34029</v>
      </c>
      <c r="B24" s="125">
        <v>36956</v>
      </c>
      <c r="C24" s="99">
        <v>0.07</v>
      </c>
      <c r="D24" s="126">
        <f t="shared" si="0"/>
        <v>2927</v>
      </c>
      <c r="E24" s="127">
        <f t="shared" si="1"/>
        <v>8.01917808219178</v>
      </c>
      <c r="F24" s="127">
        <f t="shared" si="2"/>
        <v>8.130555555555556</v>
      </c>
      <c r="G24" s="127">
        <f t="shared" si="3"/>
        <v>8.01388888888889</v>
      </c>
      <c r="H24" s="127">
        <f t="shared" si="4"/>
        <v>8.01388888888889</v>
      </c>
      <c r="I24" s="127">
        <f t="shared" si="5"/>
        <v>8.013698630136986</v>
      </c>
      <c r="J24" s="126">
        <f t="shared" si="44"/>
        <v>2927</v>
      </c>
      <c r="K24" s="126">
        <f t="shared" si="45"/>
        <v>2927.0000000000005</v>
      </c>
      <c r="L24" s="126">
        <f t="shared" si="46"/>
        <v>2885</v>
      </c>
      <c r="M24" s="126">
        <f t="shared" si="47"/>
        <v>2885</v>
      </c>
      <c r="N24" s="126">
        <f t="shared" si="48"/>
        <v>2927</v>
      </c>
      <c r="O24" s="127">
        <f t="shared" si="6"/>
        <v>8.01388888888889</v>
      </c>
      <c r="P24" s="10">
        <f t="shared" si="7"/>
        <v>0.5706539915739285</v>
      </c>
      <c r="Q24" s="10">
        <f t="shared" si="8"/>
        <v>0.581462445489887</v>
      </c>
      <c r="R24" s="10">
        <f t="shared" si="9"/>
        <v>0.6406263902482426</v>
      </c>
      <c r="S24" s="10">
        <f t="shared" si="10"/>
        <v>0.5814438119700676</v>
      </c>
      <c r="T24" s="127">
        <f t="shared" si="17"/>
        <v>8.013698630136986</v>
      </c>
      <c r="U24" s="10">
        <f t="shared" si="18"/>
        <v>0.5706615916586721</v>
      </c>
      <c r="V24" s="10">
        <f t="shared" si="19"/>
        <v>0.5814699305006199</v>
      </c>
      <c r="W24" s="10">
        <f t="shared" si="20"/>
        <v>0.6406318560772268</v>
      </c>
      <c r="X24" s="10">
        <f t="shared" si="21"/>
        <v>0.5814515482858602</v>
      </c>
      <c r="Y24" s="10">
        <f t="shared" si="22"/>
        <v>-7.600084743653035E-06</v>
      </c>
      <c r="Z24" s="10">
        <f t="shared" si="23"/>
        <v>-7.48501073288832E-06</v>
      </c>
      <c r="AA24" s="10">
        <f t="shared" si="24"/>
        <v>-5.4658289841968966E-06</v>
      </c>
      <c r="AB24" s="10">
        <f t="shared" si="25"/>
        <v>-7.736315792650217E-06</v>
      </c>
      <c r="AC24" s="127">
        <f t="shared" si="11"/>
        <v>0.5706539915739285</v>
      </c>
      <c r="AD24" s="99">
        <f t="shared" si="12"/>
        <v>0.07</v>
      </c>
      <c r="AE24" s="99">
        <f t="shared" si="13"/>
        <v>0.07250818125421632</v>
      </c>
      <c r="AF24" s="99">
        <f t="shared" si="14"/>
        <v>0.09388392840059807</v>
      </c>
      <c r="AG24" s="127">
        <f t="shared" si="15"/>
        <v>8.013698630136986</v>
      </c>
      <c r="AH24" s="99">
        <f t="shared" si="26"/>
        <v>0.0700016619183286</v>
      </c>
      <c r="AI24" s="99">
        <f t="shared" si="27"/>
        <v>0.0725099636767017</v>
      </c>
      <c r="AJ24" s="99">
        <f t="shared" si="28"/>
        <v>0.09388615736376049</v>
      </c>
      <c r="AK24" s="99">
        <f t="shared" si="29"/>
        <v>-1.6619183285937478E-06</v>
      </c>
      <c r="AL24" s="99">
        <f t="shared" si="30"/>
        <v>-1.7824224853857373E-06</v>
      </c>
      <c r="AM24" s="99">
        <f t="shared" si="31"/>
        <v>-2.2289631624178297E-06</v>
      </c>
      <c r="AN24" s="99">
        <f t="shared" si="32"/>
        <v>0.002508181254216313</v>
      </c>
      <c r="AO24" s="99">
        <f t="shared" si="33"/>
        <v>0.023883928400598067</v>
      </c>
      <c r="AP24" s="127">
        <f t="shared" si="34"/>
        <v>0.7523753706547929</v>
      </c>
      <c r="AQ24" s="10">
        <f t="shared" si="35"/>
        <v>1.7523753706547929</v>
      </c>
      <c r="AR24" s="10">
        <f t="shared" si="36"/>
        <v>1.7198015241680682</v>
      </c>
      <c r="AS24" s="10">
        <f t="shared" si="37"/>
        <v>1.5609722222222224</v>
      </c>
      <c r="AT24" s="10">
        <f t="shared" si="38"/>
        <v>1.719856638617868</v>
      </c>
    </row>
    <row r="25" spans="1:46" ht="12.75">
      <c r="A25" s="125">
        <v>33664</v>
      </c>
      <c r="B25" s="125">
        <v>36957</v>
      </c>
      <c r="C25" s="99">
        <v>0.07</v>
      </c>
      <c r="D25" s="126">
        <f t="shared" si="0"/>
        <v>3293</v>
      </c>
      <c r="E25" s="127">
        <f t="shared" si="1"/>
        <v>9.021917808219179</v>
      </c>
      <c r="F25" s="127">
        <f t="shared" si="2"/>
        <v>9.147222222222222</v>
      </c>
      <c r="G25" s="127">
        <f t="shared" si="3"/>
        <v>9.016666666666667</v>
      </c>
      <c r="H25" s="127">
        <f t="shared" si="4"/>
        <v>9.016666666666667</v>
      </c>
      <c r="I25" s="127">
        <f t="shared" si="5"/>
        <v>9.014147765551314</v>
      </c>
      <c r="J25" s="126">
        <f t="shared" si="44"/>
        <v>3293.0000000000005</v>
      </c>
      <c r="K25" s="126">
        <f t="shared" si="45"/>
        <v>3293</v>
      </c>
      <c r="L25" s="126">
        <f t="shared" si="46"/>
        <v>3246.0000000000005</v>
      </c>
      <c r="M25" s="126">
        <f t="shared" si="47"/>
        <v>3246.0000000000005</v>
      </c>
      <c r="N25" s="126">
        <f t="shared" si="48"/>
        <v>3293</v>
      </c>
      <c r="O25" s="127">
        <f t="shared" si="6"/>
        <v>9.016666666666667</v>
      </c>
      <c r="P25" s="10">
        <f t="shared" si="7"/>
        <v>0.5319708062231165</v>
      </c>
      <c r="Q25" s="10">
        <f t="shared" si="8"/>
        <v>0.5433207245841419</v>
      </c>
      <c r="R25" s="10">
        <f t="shared" si="9"/>
        <v>0.6130581383467866</v>
      </c>
      <c r="S25" s="10">
        <f t="shared" si="10"/>
        <v>0.5432998927093204</v>
      </c>
      <c r="T25" s="127">
        <f t="shared" si="17"/>
        <v>9.014147765551314</v>
      </c>
      <c r="U25" s="10">
        <f t="shared" si="18"/>
        <v>0.5320646132230421</v>
      </c>
      <c r="V25" s="10">
        <f t="shared" si="19"/>
        <v>0.5434133281512413</v>
      </c>
      <c r="W25" s="10">
        <f t="shared" si="20"/>
        <v>0.6131244148262378</v>
      </c>
      <c r="X25" s="10">
        <f t="shared" si="21"/>
        <v>0.543395594241322</v>
      </c>
      <c r="Y25" s="10">
        <f t="shared" si="22"/>
        <v>-9.380699992556085E-05</v>
      </c>
      <c r="Z25" s="10">
        <f t="shared" si="23"/>
        <v>-9.260356709939188E-05</v>
      </c>
      <c r="AA25" s="10">
        <f t="shared" si="24"/>
        <v>-6.627647945123272E-05</v>
      </c>
      <c r="AB25" s="10">
        <f t="shared" si="25"/>
        <v>-9.570153200155751E-05</v>
      </c>
      <c r="AC25" s="127">
        <f t="shared" si="11"/>
        <v>0.5319708062231165</v>
      </c>
      <c r="AD25" s="99">
        <f t="shared" si="12"/>
        <v>0.07</v>
      </c>
      <c r="AE25" s="99">
        <f t="shared" si="13"/>
        <v>0.07250818125421632</v>
      </c>
      <c r="AF25" s="99">
        <f t="shared" si="14"/>
        <v>0.09757512790264733</v>
      </c>
      <c r="AG25" s="127">
        <f t="shared" si="15"/>
        <v>9.014147765551314</v>
      </c>
      <c r="AH25" s="99">
        <f t="shared" si="26"/>
        <v>0.07001956070420197</v>
      </c>
      <c r="AI25" s="99">
        <f t="shared" si="27"/>
        <v>0.07252916047468783</v>
      </c>
      <c r="AJ25" s="99">
        <f t="shared" si="28"/>
        <v>0.09760239416285266</v>
      </c>
      <c r="AK25" s="99">
        <f t="shared" si="29"/>
        <v>-1.956070420196243E-05</v>
      </c>
      <c r="AL25" s="99">
        <f t="shared" si="30"/>
        <v>-2.0979220471506466E-05</v>
      </c>
      <c r="AM25" s="99">
        <f t="shared" si="31"/>
        <v>-2.726626020532752E-05</v>
      </c>
      <c r="AN25" s="99">
        <f t="shared" si="32"/>
        <v>0.002508181254216313</v>
      </c>
      <c r="AO25" s="99">
        <f t="shared" si="33"/>
        <v>0.027575127902647323</v>
      </c>
      <c r="AP25" s="127">
        <f t="shared" si="34"/>
        <v>0.8798024032555369</v>
      </c>
      <c r="AQ25" s="10">
        <f t="shared" si="35"/>
        <v>1.879802403255537</v>
      </c>
      <c r="AR25" s="10">
        <f t="shared" si="36"/>
        <v>1.8405335094946005</v>
      </c>
      <c r="AS25" s="10">
        <f t="shared" si="37"/>
        <v>1.6311666666666667</v>
      </c>
      <c r="AT25" s="10">
        <f t="shared" si="38"/>
        <v>1.8406040815013118</v>
      </c>
    </row>
    <row r="26" spans="1:46" ht="12.75">
      <c r="A26" s="125">
        <v>32933</v>
      </c>
      <c r="B26" s="125">
        <v>36958</v>
      </c>
      <c r="C26" s="99">
        <v>0.07</v>
      </c>
      <c r="D26" s="126">
        <f t="shared" si="0"/>
        <v>4025</v>
      </c>
      <c r="E26" s="127">
        <f t="shared" si="1"/>
        <v>11.027397260273972</v>
      </c>
      <c r="F26" s="127">
        <f t="shared" si="2"/>
        <v>11.180555555555555</v>
      </c>
      <c r="G26" s="127">
        <f t="shared" si="3"/>
        <v>11.019444444444444</v>
      </c>
      <c r="H26" s="127">
        <f t="shared" si="4"/>
        <v>11.019444444444444</v>
      </c>
      <c r="I26" s="127">
        <f t="shared" si="5"/>
        <v>11.01917808219178</v>
      </c>
      <c r="J26" s="126">
        <f t="shared" si="44"/>
        <v>4024.9999999999995</v>
      </c>
      <c r="K26" s="126">
        <f t="shared" si="45"/>
        <v>4025</v>
      </c>
      <c r="L26" s="126">
        <f t="shared" si="46"/>
        <v>3967</v>
      </c>
      <c r="M26" s="126">
        <f t="shared" si="47"/>
        <v>3967</v>
      </c>
      <c r="N26" s="126">
        <f t="shared" si="48"/>
        <v>4025</v>
      </c>
      <c r="O26" s="127">
        <f t="shared" si="6"/>
        <v>11.019444444444444</v>
      </c>
      <c r="P26" s="10">
        <f t="shared" si="7"/>
        <v>0.46238328477927076</v>
      </c>
      <c r="Q26" s="10">
        <f t="shared" si="8"/>
        <v>0.4744681824675224</v>
      </c>
      <c r="R26" s="10">
        <f t="shared" si="9"/>
        <v>0.5645376280010663</v>
      </c>
      <c r="S26" s="10">
        <f t="shared" si="10"/>
        <v>0.47444702127529526</v>
      </c>
      <c r="T26" s="127">
        <f t="shared" si="17"/>
        <v>11.01917808219178</v>
      </c>
      <c r="U26" s="10">
        <f t="shared" si="18"/>
        <v>0.4623919061613779</v>
      </c>
      <c r="V26" s="10">
        <f t="shared" si="19"/>
        <v>0.47447673327257023</v>
      </c>
      <c r="W26" s="10">
        <f t="shared" si="20"/>
        <v>0.5645435703900764</v>
      </c>
      <c r="X26" s="10">
        <f t="shared" si="21"/>
        <v>0.4744558556498649</v>
      </c>
      <c r="Y26" s="10">
        <f t="shared" si="22"/>
        <v>-8.621382107110165E-06</v>
      </c>
      <c r="Z26" s="10">
        <f t="shared" si="23"/>
        <v>-8.550805047802257E-06</v>
      </c>
      <c r="AA26" s="10">
        <f t="shared" si="24"/>
        <v>-5.942389010082927E-06</v>
      </c>
      <c r="AB26" s="10">
        <f t="shared" si="25"/>
        <v>-8.834374569666181E-06</v>
      </c>
      <c r="AC26" s="127">
        <f t="shared" si="11"/>
        <v>0.46238328477927076</v>
      </c>
      <c r="AD26" s="99">
        <f t="shared" si="12"/>
        <v>0.07</v>
      </c>
      <c r="AE26" s="99">
        <f t="shared" si="13"/>
        <v>0.07250818125421632</v>
      </c>
      <c r="AF26" s="99">
        <f t="shared" si="14"/>
        <v>0.10551420654798457</v>
      </c>
      <c r="AG26" s="127">
        <f t="shared" si="15"/>
        <v>11.01917808219178</v>
      </c>
      <c r="AH26" s="99">
        <f t="shared" si="26"/>
        <v>0.0700016920824355</v>
      </c>
      <c r="AI26" s="99">
        <f t="shared" si="27"/>
        <v>0.07250999602800712</v>
      </c>
      <c r="AJ26" s="99">
        <f t="shared" si="28"/>
        <v>0.10551675710135022</v>
      </c>
      <c r="AK26" s="99">
        <f t="shared" si="29"/>
        <v>-1.6920824354865749E-06</v>
      </c>
      <c r="AL26" s="99">
        <f t="shared" si="30"/>
        <v>-1.8147737907980854E-06</v>
      </c>
      <c r="AM26" s="99">
        <f t="shared" si="31"/>
        <v>-2.550553365648911E-06</v>
      </c>
      <c r="AN26" s="99">
        <f t="shared" si="32"/>
        <v>0.002508181254216313</v>
      </c>
      <c r="AO26" s="99">
        <f t="shared" si="33"/>
        <v>0.03551420654798457</v>
      </c>
      <c r="AP26" s="127">
        <f t="shared" si="34"/>
        <v>1.1627079371551523</v>
      </c>
      <c r="AQ26" s="10">
        <f t="shared" si="35"/>
        <v>2.1627079371551523</v>
      </c>
      <c r="AR26" s="10">
        <f t="shared" si="36"/>
        <v>2.107622885900153</v>
      </c>
      <c r="AS26" s="10">
        <f t="shared" si="37"/>
        <v>1.7713611111111112</v>
      </c>
      <c r="AT26" s="10">
        <f t="shared" si="38"/>
        <v>2.107716889679355</v>
      </c>
    </row>
    <row r="27" spans="1:46" ht="12.75">
      <c r="A27" s="125">
        <v>36586</v>
      </c>
      <c r="B27" s="125">
        <v>37316</v>
      </c>
      <c r="C27" s="99">
        <v>0.07</v>
      </c>
      <c r="D27" s="126">
        <f t="shared" si="0"/>
        <v>730</v>
      </c>
      <c r="E27" s="127">
        <f t="shared" si="1"/>
        <v>2</v>
      </c>
      <c r="F27" s="127">
        <f t="shared" si="2"/>
        <v>2.0277777777777777</v>
      </c>
      <c r="G27" s="127">
        <f t="shared" si="3"/>
        <v>2</v>
      </c>
      <c r="H27" s="127">
        <f t="shared" si="4"/>
        <v>2</v>
      </c>
      <c r="I27" s="127">
        <f t="shared" si="5"/>
        <v>1.9977094093869303</v>
      </c>
      <c r="J27" s="126">
        <f t="shared" si="44"/>
        <v>730</v>
      </c>
      <c r="K27" s="126">
        <f t="shared" si="45"/>
        <v>730</v>
      </c>
      <c r="L27" s="126">
        <f t="shared" si="46"/>
        <v>720</v>
      </c>
      <c r="M27" s="126">
        <f t="shared" si="47"/>
        <v>720</v>
      </c>
      <c r="N27" s="126">
        <f t="shared" si="48"/>
        <v>730</v>
      </c>
      <c r="O27" s="127">
        <f t="shared" si="6"/>
        <v>2</v>
      </c>
      <c r="P27" s="10">
        <f t="shared" si="7"/>
        <v>0.8693582353988059</v>
      </c>
      <c r="Q27" s="10">
        <f t="shared" si="8"/>
        <v>0.8734387282732116</v>
      </c>
      <c r="R27" s="10">
        <f t="shared" si="9"/>
        <v>0.8771929824561403</v>
      </c>
      <c r="S27" s="10">
        <f t="shared" si="10"/>
        <v>0.8734387282732116</v>
      </c>
      <c r="T27" s="127">
        <f t="shared" si="17"/>
        <v>1.9977094093869303</v>
      </c>
      <c r="U27" s="10">
        <f t="shared" si="18"/>
        <v>0.869497640641657</v>
      </c>
      <c r="V27" s="10">
        <f t="shared" si="19"/>
        <v>0.8735741027817615</v>
      </c>
      <c r="W27" s="10">
        <f t="shared" si="20"/>
        <v>0.8773163772685021</v>
      </c>
      <c r="X27" s="10">
        <f t="shared" si="21"/>
        <v>0.8735696341874877</v>
      </c>
      <c r="Y27" s="10">
        <f t="shared" si="22"/>
        <v>-0.00013940524285116496</v>
      </c>
      <c r="Z27" s="10">
        <f t="shared" si="23"/>
        <v>-0.00013537450854994582</v>
      </c>
      <c r="AA27" s="10">
        <f t="shared" si="24"/>
        <v>-0.00012339481236178784</v>
      </c>
      <c r="AB27" s="10">
        <f t="shared" si="25"/>
        <v>-0.00013090591427611376</v>
      </c>
      <c r="AC27" s="127">
        <f t="shared" si="11"/>
        <v>0.8693582353988059</v>
      </c>
      <c r="AD27" s="99">
        <f t="shared" si="12"/>
        <v>0.06999999999999998</v>
      </c>
      <c r="AE27" s="99">
        <f t="shared" si="13"/>
        <v>0.07250818125421632</v>
      </c>
      <c r="AF27" s="99">
        <f t="shared" si="14"/>
        <v>0.07513689942861361</v>
      </c>
      <c r="AG27" s="127">
        <f t="shared" si="15"/>
        <v>1.9977094093869303</v>
      </c>
      <c r="AH27" s="99">
        <f t="shared" si="26"/>
        <v>0.07008026259583171</v>
      </c>
      <c r="AI27" s="99">
        <f t="shared" si="27"/>
        <v>0.07259426699958116</v>
      </c>
      <c r="AJ27" s="99">
        <f t="shared" si="28"/>
        <v>0.07522305203705487</v>
      </c>
      <c r="AK27" s="99">
        <f t="shared" si="29"/>
        <v>-8.026259583172879E-05</v>
      </c>
      <c r="AL27" s="99">
        <f t="shared" si="30"/>
        <v>-8.608574536483893E-05</v>
      </c>
      <c r="AM27" s="99">
        <f t="shared" si="31"/>
        <v>-8.615260844126171E-05</v>
      </c>
      <c r="AN27" s="99">
        <f t="shared" si="32"/>
        <v>0.0025081812542163406</v>
      </c>
      <c r="AO27" s="99">
        <f t="shared" si="33"/>
        <v>0.005136899428613631</v>
      </c>
      <c r="AP27" s="127">
        <f t="shared" si="34"/>
        <v>0.15027379885722714</v>
      </c>
      <c r="AQ27" s="10">
        <f t="shared" si="35"/>
        <v>1.1502737988572271</v>
      </c>
      <c r="AR27" s="10">
        <f t="shared" si="36"/>
        <v>1.1449</v>
      </c>
      <c r="AS27" s="10">
        <f t="shared" si="37"/>
        <v>1.1400000000000001</v>
      </c>
      <c r="AT27" s="10">
        <f t="shared" si="38"/>
        <v>1.1449</v>
      </c>
    </row>
    <row r="28" spans="1:46" ht="12.75">
      <c r="A28" s="125">
        <v>36586</v>
      </c>
      <c r="B28" s="125">
        <v>37681</v>
      </c>
      <c r="C28" s="99">
        <v>0.07</v>
      </c>
      <c r="D28" s="126">
        <f t="shared" si="0"/>
        <v>1095</v>
      </c>
      <c r="E28" s="127">
        <f t="shared" si="1"/>
        <v>3</v>
      </c>
      <c r="F28" s="127">
        <f t="shared" si="2"/>
        <v>3.0416666666666665</v>
      </c>
      <c r="G28" s="127">
        <f t="shared" si="3"/>
        <v>3</v>
      </c>
      <c r="H28" s="127">
        <f t="shared" si="4"/>
        <v>3</v>
      </c>
      <c r="I28" s="127">
        <f t="shared" si="5"/>
        <v>2.99770940938693</v>
      </c>
      <c r="J28" s="126">
        <f t="shared" si="44"/>
        <v>1095</v>
      </c>
      <c r="K28" s="126">
        <f t="shared" si="45"/>
        <v>1095</v>
      </c>
      <c r="L28" s="126">
        <f t="shared" si="46"/>
        <v>1080</v>
      </c>
      <c r="M28" s="126">
        <f t="shared" si="47"/>
        <v>1080</v>
      </c>
      <c r="N28" s="126">
        <f t="shared" si="48"/>
        <v>1095</v>
      </c>
      <c r="O28" s="127">
        <f t="shared" si="6"/>
        <v>3</v>
      </c>
      <c r="P28" s="10">
        <f t="shared" si="7"/>
        <v>0.8105842459701871</v>
      </c>
      <c r="Q28" s="10">
        <f t="shared" si="8"/>
        <v>0.8162978768908519</v>
      </c>
      <c r="R28" s="10">
        <f t="shared" si="9"/>
        <v>0.8264462809917356</v>
      </c>
      <c r="S28" s="10">
        <f t="shared" si="10"/>
        <v>0.8162978768908519</v>
      </c>
      <c r="T28" s="127">
        <f t="shared" si="17"/>
        <v>2.99770940938693</v>
      </c>
      <c r="U28" s="10">
        <f t="shared" si="18"/>
        <v>0.810714226557084</v>
      </c>
      <c r="V28" s="10">
        <f t="shared" si="19"/>
        <v>0.8164243951231415</v>
      </c>
      <c r="W28" s="10">
        <f t="shared" si="20"/>
        <v>0.8265558108005767</v>
      </c>
      <c r="X28" s="10">
        <f t="shared" si="21"/>
        <v>0.8164202188668108</v>
      </c>
      <c r="Y28" s="10">
        <f t="shared" si="22"/>
        <v>-0.00012998058689694947</v>
      </c>
      <c r="Z28" s="10">
        <f t="shared" si="23"/>
        <v>-0.00012651823228959636</v>
      </c>
      <c r="AA28" s="10">
        <f t="shared" si="24"/>
        <v>-0.00010952980884115782</v>
      </c>
      <c r="AB28" s="10">
        <f t="shared" si="25"/>
        <v>-0.00012234197595895058</v>
      </c>
      <c r="AC28" s="127">
        <f t="shared" si="11"/>
        <v>0.8105842459701871</v>
      </c>
      <c r="AD28" s="99">
        <f t="shared" si="12"/>
        <v>0.07</v>
      </c>
      <c r="AE28" s="99">
        <f t="shared" si="13"/>
        <v>0.07250818125421632</v>
      </c>
      <c r="AF28" s="99">
        <f t="shared" si="14"/>
        <v>0.07789268665224776</v>
      </c>
      <c r="AG28" s="127">
        <f t="shared" si="15"/>
        <v>2.99770940938693</v>
      </c>
      <c r="AH28" s="99">
        <f t="shared" si="26"/>
        <v>0.0700534879539734</v>
      </c>
      <c r="AI28" s="99">
        <f t="shared" si="27"/>
        <v>0.072565549056681</v>
      </c>
      <c r="AJ28" s="99">
        <f t="shared" si="28"/>
        <v>0.07795220551565517</v>
      </c>
      <c r="AK28" s="99">
        <f t="shared" si="29"/>
        <v>-5.3487953973391233E-05</v>
      </c>
      <c r="AL28" s="99">
        <f t="shared" si="30"/>
        <v>-5.736780246468065E-05</v>
      </c>
      <c r="AM28" s="99">
        <f t="shared" si="31"/>
        <v>-5.951886340740953E-05</v>
      </c>
      <c r="AN28" s="99">
        <f t="shared" si="32"/>
        <v>0.002508181254216313</v>
      </c>
      <c r="AO28" s="99">
        <f t="shared" si="33"/>
        <v>0.007892686652247752</v>
      </c>
      <c r="AP28" s="127">
        <f t="shared" si="34"/>
        <v>0.23367805995674318</v>
      </c>
      <c r="AQ28" s="10">
        <f t="shared" si="35"/>
        <v>1.2336780599567432</v>
      </c>
      <c r="AR28" s="10">
        <f t="shared" si="36"/>
        <v>1.225043</v>
      </c>
      <c r="AS28" s="10">
        <f t="shared" si="37"/>
        <v>1.21</v>
      </c>
      <c r="AT28" s="10">
        <f t="shared" si="38"/>
        <v>1.225043</v>
      </c>
    </row>
    <row r="29" spans="1:46" ht="12.75">
      <c r="A29" s="125">
        <v>36586</v>
      </c>
      <c r="B29" s="125">
        <v>38047</v>
      </c>
      <c r="C29" s="99">
        <v>0.07</v>
      </c>
      <c r="D29" s="126">
        <f t="shared" si="0"/>
        <v>1461</v>
      </c>
      <c r="E29" s="127">
        <f t="shared" si="1"/>
        <v>4.002739726027397</v>
      </c>
      <c r="F29" s="127">
        <f t="shared" si="2"/>
        <v>4.058333333333334</v>
      </c>
      <c r="G29" s="127">
        <f t="shared" si="3"/>
        <v>4</v>
      </c>
      <c r="H29" s="127">
        <f t="shared" si="4"/>
        <v>4</v>
      </c>
      <c r="I29" s="127">
        <f t="shared" si="5"/>
        <v>3.9999999999999996</v>
      </c>
      <c r="J29" s="126">
        <f t="shared" si="44"/>
        <v>1461</v>
      </c>
      <c r="K29" s="126">
        <f t="shared" si="45"/>
        <v>1461</v>
      </c>
      <c r="L29" s="126">
        <f t="shared" si="46"/>
        <v>1440</v>
      </c>
      <c r="M29" s="126">
        <f t="shared" si="47"/>
        <v>1440</v>
      </c>
      <c r="N29" s="126">
        <f t="shared" si="48"/>
        <v>1461</v>
      </c>
      <c r="O29" s="127">
        <f t="shared" si="6"/>
        <v>4</v>
      </c>
      <c r="P29" s="10">
        <f t="shared" si="7"/>
        <v>0.7557837414557255</v>
      </c>
      <c r="Q29" s="10">
        <f t="shared" si="8"/>
        <v>0.7628952120475252</v>
      </c>
      <c r="R29" s="10">
        <f t="shared" si="9"/>
        <v>0.78125</v>
      </c>
      <c r="S29" s="10">
        <f t="shared" si="10"/>
        <v>0.7628952120475252</v>
      </c>
      <c r="T29" s="127">
        <f t="shared" si="17"/>
        <v>3.9999999999999996</v>
      </c>
      <c r="U29" s="10">
        <f t="shared" si="18"/>
        <v>0.7557837414557255</v>
      </c>
      <c r="V29" s="10">
        <f t="shared" si="19"/>
        <v>0.7628952120475251</v>
      </c>
      <c r="W29" s="10">
        <f t="shared" si="20"/>
        <v>0.78125</v>
      </c>
      <c r="X29" s="10">
        <f t="shared" si="21"/>
        <v>0.7628952120475252</v>
      </c>
      <c r="Y29" s="10">
        <f t="shared" si="22"/>
        <v>0</v>
      </c>
      <c r="Z29" s="10">
        <f t="shared" si="23"/>
        <v>0</v>
      </c>
      <c r="AA29" s="10">
        <f t="shared" si="24"/>
        <v>0</v>
      </c>
      <c r="AB29" s="10">
        <f t="shared" si="25"/>
        <v>0</v>
      </c>
      <c r="AC29" s="127">
        <f t="shared" si="11"/>
        <v>0.7557837414557255</v>
      </c>
      <c r="AD29" s="99">
        <f t="shared" si="12"/>
        <v>0.07</v>
      </c>
      <c r="AE29" s="99">
        <f t="shared" si="13"/>
        <v>0.07250818125421632</v>
      </c>
      <c r="AF29" s="99">
        <f t="shared" si="14"/>
        <v>0.08078245308435923</v>
      </c>
      <c r="AG29" s="127">
        <f t="shared" si="15"/>
        <v>3.9999999999999996</v>
      </c>
      <c r="AH29" s="99">
        <f t="shared" si="26"/>
        <v>0.07000000000000002</v>
      </c>
      <c r="AI29" s="99">
        <f t="shared" si="27"/>
        <v>0.07250818125421632</v>
      </c>
      <c r="AJ29" s="99">
        <f t="shared" si="28"/>
        <v>0.08078245308435925</v>
      </c>
      <c r="AK29" s="99">
        <f t="shared" si="29"/>
        <v>0</v>
      </c>
      <c r="AL29" s="99">
        <f t="shared" si="30"/>
        <v>0</v>
      </c>
      <c r="AM29" s="99">
        <f t="shared" si="31"/>
        <v>0</v>
      </c>
      <c r="AN29" s="99">
        <f t="shared" si="32"/>
        <v>0.002508181254216313</v>
      </c>
      <c r="AO29" s="99">
        <f t="shared" si="33"/>
        <v>0.010782453084359225</v>
      </c>
      <c r="AP29" s="127">
        <f t="shared" si="34"/>
        <v>0.3231298123374369</v>
      </c>
      <c r="AQ29" s="10">
        <f t="shared" si="35"/>
        <v>1.3231298123374369</v>
      </c>
      <c r="AR29" s="10">
        <f t="shared" si="36"/>
        <v>1.31079601</v>
      </c>
      <c r="AS29" s="10">
        <f t="shared" si="37"/>
        <v>1.28</v>
      </c>
      <c r="AT29" s="10">
        <f t="shared" si="38"/>
        <v>1.31079601</v>
      </c>
    </row>
    <row r="30" spans="1:46" ht="12.75">
      <c r="A30" s="125">
        <v>36586</v>
      </c>
      <c r="B30" s="125">
        <v>38412</v>
      </c>
      <c r="C30" s="99">
        <v>0.07</v>
      </c>
      <c r="D30" s="126">
        <f t="shared" si="0"/>
        <v>1826</v>
      </c>
      <c r="E30" s="127">
        <f t="shared" si="1"/>
        <v>5.002739726027397</v>
      </c>
      <c r="F30" s="127">
        <f t="shared" si="2"/>
        <v>5.072222222222222</v>
      </c>
      <c r="G30" s="127">
        <f t="shared" si="3"/>
        <v>5</v>
      </c>
      <c r="H30" s="127">
        <f t="shared" si="4"/>
        <v>5</v>
      </c>
      <c r="I30" s="127">
        <f t="shared" si="5"/>
        <v>4.99770940938693</v>
      </c>
      <c r="J30" s="126">
        <f t="shared" si="44"/>
        <v>1826</v>
      </c>
      <c r="K30" s="126">
        <f t="shared" si="45"/>
        <v>1826</v>
      </c>
      <c r="L30" s="126">
        <f t="shared" si="46"/>
        <v>1800</v>
      </c>
      <c r="M30" s="126">
        <f t="shared" si="47"/>
        <v>1800</v>
      </c>
      <c r="N30" s="126">
        <f t="shared" si="48"/>
        <v>1826</v>
      </c>
      <c r="O30" s="127">
        <f t="shared" si="6"/>
        <v>5</v>
      </c>
      <c r="P30" s="10">
        <f t="shared" si="7"/>
        <v>0.7046880897187134</v>
      </c>
      <c r="Q30" s="10">
        <f t="shared" si="8"/>
        <v>0.7129861794836684</v>
      </c>
      <c r="R30" s="10">
        <f t="shared" si="9"/>
        <v>0.7407407407407407</v>
      </c>
      <c r="S30" s="10">
        <f t="shared" si="10"/>
        <v>0.7129861794836684</v>
      </c>
      <c r="T30" s="127">
        <f t="shared" si="17"/>
        <v>4.99770940938693</v>
      </c>
      <c r="U30" s="10">
        <f t="shared" si="18"/>
        <v>0.7048010894123743</v>
      </c>
      <c r="V30" s="10">
        <f t="shared" si="19"/>
        <v>0.7130966854075828</v>
      </c>
      <c r="W30" s="10">
        <f t="shared" si="20"/>
        <v>0.7408287299803222</v>
      </c>
      <c r="X30" s="10">
        <f t="shared" si="21"/>
        <v>0.7130930377035644</v>
      </c>
      <c r="Y30" s="10">
        <f t="shared" si="22"/>
        <v>-0.0001129996936608535</v>
      </c>
      <c r="Z30" s="10">
        <f t="shared" si="23"/>
        <v>-0.00011050592391437242</v>
      </c>
      <c r="AA30" s="10">
        <f t="shared" si="24"/>
        <v>-8.798923958153182E-05</v>
      </c>
      <c r="AB30" s="10">
        <f t="shared" si="25"/>
        <v>-0.00010685821989597777</v>
      </c>
      <c r="AC30" s="127">
        <f t="shared" si="11"/>
        <v>0.7046880897187134</v>
      </c>
      <c r="AD30" s="99">
        <f t="shared" si="12"/>
        <v>0.06999999999999999</v>
      </c>
      <c r="AE30" s="99">
        <f t="shared" si="13"/>
        <v>0.07250818125421632</v>
      </c>
      <c r="AF30" s="99">
        <f t="shared" si="14"/>
        <v>0.08381350971865145</v>
      </c>
      <c r="AG30" s="127">
        <f t="shared" si="15"/>
        <v>4.99770940938693</v>
      </c>
      <c r="AH30" s="99">
        <f t="shared" si="26"/>
        <v>0.0700320829663713</v>
      </c>
      <c r="AI30" s="99">
        <f t="shared" si="27"/>
        <v>0.07254259105010985</v>
      </c>
      <c r="AJ30" s="99">
        <f t="shared" si="28"/>
        <v>0.08385192380456236</v>
      </c>
      <c r="AK30" s="99">
        <f t="shared" si="29"/>
        <v>-3.2082966371305144E-05</v>
      </c>
      <c r="AL30" s="99">
        <f t="shared" si="30"/>
        <v>-3.440979589353077E-05</v>
      </c>
      <c r="AM30" s="99">
        <f t="shared" si="31"/>
        <v>-3.8414085910903895E-05</v>
      </c>
      <c r="AN30" s="99">
        <f t="shared" si="32"/>
        <v>0.0025081812542163268</v>
      </c>
      <c r="AO30" s="99">
        <f t="shared" si="33"/>
        <v>0.01381350971865146</v>
      </c>
      <c r="AP30" s="127">
        <f t="shared" si="34"/>
        <v>0.41906754859325734</v>
      </c>
      <c r="AQ30" s="10">
        <f t="shared" si="35"/>
        <v>1.4190675485932573</v>
      </c>
      <c r="AR30" s="10">
        <f t="shared" si="36"/>
        <v>1.4025517307000002</v>
      </c>
      <c r="AS30" s="10">
        <f t="shared" si="37"/>
        <v>1.35</v>
      </c>
      <c r="AT30" s="10">
        <f t="shared" si="38"/>
        <v>1.4025517307000002</v>
      </c>
    </row>
    <row r="31" spans="1:46" ht="12.75">
      <c r="A31" s="125">
        <v>36951</v>
      </c>
      <c r="B31" s="125">
        <v>37316</v>
      </c>
      <c r="C31" s="99">
        <v>0.07</v>
      </c>
      <c r="D31" s="126">
        <f t="shared" si="0"/>
        <v>365</v>
      </c>
      <c r="E31" s="127">
        <f t="shared" si="1"/>
        <v>1</v>
      </c>
      <c r="F31" s="127">
        <f t="shared" si="2"/>
        <v>1.0138888888888888</v>
      </c>
      <c r="G31" s="127">
        <f t="shared" si="3"/>
        <v>1</v>
      </c>
      <c r="H31" s="127">
        <f t="shared" si="4"/>
        <v>1</v>
      </c>
      <c r="I31" s="127">
        <f t="shared" si="5"/>
        <v>1</v>
      </c>
      <c r="J31" s="126">
        <f>365*E31</f>
        <v>365</v>
      </c>
      <c r="K31" s="126">
        <f>360*F31</f>
        <v>365</v>
      </c>
      <c r="L31" s="126">
        <f>360*G31</f>
        <v>360</v>
      </c>
      <c r="M31" s="126">
        <f t="shared" si="47"/>
        <v>360</v>
      </c>
      <c r="N31" s="126">
        <f>D31</f>
        <v>365</v>
      </c>
      <c r="O31" s="127">
        <f t="shared" si="6"/>
        <v>1</v>
      </c>
      <c r="P31" s="10">
        <f t="shared" si="7"/>
        <v>0.9323938199059483</v>
      </c>
      <c r="Q31" s="10">
        <f t="shared" si="8"/>
        <v>0.9345794392523364</v>
      </c>
      <c r="R31" s="10">
        <f t="shared" si="9"/>
        <v>0.9345794392523364</v>
      </c>
      <c r="S31" s="10">
        <f t="shared" si="10"/>
        <v>0.9345794392523364</v>
      </c>
      <c r="T31" s="127">
        <f t="shared" si="17"/>
        <v>1</v>
      </c>
      <c r="U31" s="10">
        <f t="shared" si="18"/>
        <v>0.9323938199059483</v>
      </c>
      <c r="V31" s="10">
        <f t="shared" si="19"/>
        <v>0.9345794392523364</v>
      </c>
      <c r="W31" s="10">
        <f t="shared" si="20"/>
        <v>0.9345794392523364</v>
      </c>
      <c r="X31" s="10">
        <f t="shared" si="21"/>
        <v>0.9345794392523364</v>
      </c>
      <c r="Y31" s="10">
        <f t="shared" si="22"/>
        <v>0</v>
      </c>
      <c r="Z31" s="10">
        <f t="shared" si="23"/>
        <v>0</v>
      </c>
      <c r="AA31" s="10">
        <f t="shared" si="24"/>
        <v>0</v>
      </c>
      <c r="AB31" s="10">
        <f t="shared" si="25"/>
        <v>0</v>
      </c>
      <c r="AC31" s="127">
        <f t="shared" si="11"/>
        <v>0.9323938199059483</v>
      </c>
      <c r="AD31" s="99">
        <f t="shared" si="12"/>
        <v>0.06999999999999995</v>
      </c>
      <c r="AE31" s="99">
        <f t="shared" si="13"/>
        <v>0.07250818125421632</v>
      </c>
      <c r="AF31" s="99">
        <f t="shared" si="14"/>
        <v>0.07250818125421643</v>
      </c>
      <c r="AG31" s="127">
        <f t="shared" si="15"/>
        <v>1</v>
      </c>
      <c r="AH31" s="99">
        <f t="shared" si="26"/>
        <v>0.06999999999999995</v>
      </c>
      <c r="AI31" s="99">
        <f t="shared" si="27"/>
        <v>0.07250818125421632</v>
      </c>
      <c r="AJ31" s="99">
        <f t="shared" si="28"/>
        <v>0.07250818125421643</v>
      </c>
      <c r="AK31" s="99">
        <f t="shared" si="29"/>
        <v>0</v>
      </c>
      <c r="AL31" s="99">
        <f t="shared" si="30"/>
        <v>0</v>
      </c>
      <c r="AM31" s="99">
        <f t="shared" si="31"/>
        <v>0</v>
      </c>
      <c r="AN31" s="99">
        <f t="shared" si="32"/>
        <v>0.0025081812542163684</v>
      </c>
      <c r="AO31" s="99">
        <f t="shared" si="33"/>
        <v>0.0025081812542164794</v>
      </c>
      <c r="AP31" s="127">
        <f t="shared" si="34"/>
        <v>0.07250818125421632</v>
      </c>
      <c r="AQ31" s="10">
        <f t="shared" si="35"/>
        <v>1.0725081812542163</v>
      </c>
      <c r="AR31" s="10">
        <f t="shared" si="36"/>
        <v>1.07</v>
      </c>
      <c r="AS31" s="10">
        <f t="shared" si="37"/>
        <v>1.07</v>
      </c>
      <c r="AT31" s="10">
        <f t="shared" si="38"/>
        <v>1.07</v>
      </c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T35"/>
  <sheetViews>
    <sheetView workbookViewId="0" topLeftCell="A1">
      <selection activeCell="A2" sqref="A2"/>
    </sheetView>
  </sheetViews>
  <sheetFormatPr defaultColWidth="11.421875" defaultRowHeight="12.75"/>
  <sheetData>
    <row r="1" ht="13.5" thickBot="1">
      <c r="A1" s="2"/>
    </row>
    <row r="2" spans="3:20" ht="13.5" thickBot="1">
      <c r="C2" s="50"/>
      <c r="F2" s="4" t="s">
        <v>37</v>
      </c>
      <c r="G2" s="5"/>
      <c r="H2" s="4"/>
      <c r="I2" s="5"/>
      <c r="J2" s="5"/>
      <c r="K2" s="5"/>
      <c r="L2" s="5"/>
      <c r="M2" s="5" t="s">
        <v>92</v>
      </c>
      <c r="N2" s="5"/>
      <c r="O2" s="5" t="s">
        <v>91</v>
      </c>
      <c r="P2" s="5"/>
      <c r="Q2" s="5"/>
      <c r="R2" s="5"/>
      <c r="S2" s="5"/>
      <c r="T2" s="23"/>
    </row>
    <row r="3" spans="1:20" ht="12.75">
      <c r="A3" s="4" t="s">
        <v>64</v>
      </c>
      <c r="B3" s="5" t="s">
        <v>16</v>
      </c>
      <c r="C3" s="6"/>
      <c r="D3" s="7"/>
      <c r="F3" s="12"/>
      <c r="G3" s="13"/>
      <c r="H3" s="17" t="s">
        <v>71</v>
      </c>
      <c r="I3" s="18"/>
      <c r="J3" s="18"/>
      <c r="K3" s="18"/>
      <c r="L3" s="18"/>
      <c r="M3" s="18" t="s">
        <v>137</v>
      </c>
      <c r="N3" s="18" t="s">
        <v>77</v>
      </c>
      <c r="O3" s="18" t="s">
        <v>92</v>
      </c>
      <c r="P3" s="18" t="s">
        <v>86</v>
      </c>
      <c r="Q3" s="18"/>
      <c r="R3" s="18"/>
      <c r="S3" s="18"/>
      <c r="T3" s="27"/>
    </row>
    <row r="4" spans="1:20" ht="12.75">
      <c r="A4" s="8">
        <v>39104</v>
      </c>
      <c r="B4" s="9" t="str">
        <f>VLOOKUP(B12,A14:B20,2)</f>
        <v>Montag</v>
      </c>
      <c r="C4" s="118">
        <f>MOD(A4-1,7)</f>
        <v>1</v>
      </c>
      <c r="D4" s="11"/>
      <c r="F4" s="12" t="s">
        <v>17</v>
      </c>
      <c r="G4" s="46">
        <v>2007</v>
      </c>
      <c r="H4" s="19" t="s">
        <v>136</v>
      </c>
      <c r="I4" s="10"/>
      <c r="J4" s="28">
        <f>G17-48</f>
        <v>39132</v>
      </c>
      <c r="K4" s="9" t="str">
        <f>VLOOKUP(IF(MONTH(J4)&gt;2,MOD(DAY(J4)+INT(2.61*(MONTH(J4)-2)-0.2)+MOD(YEAR(J4),100)+INT(MOD(YEAR(J4),100)/4)+INT(INT(YEAR(J4)/100)/4)-2*(INT(YEAR(J4)/100)),7),IF(MOD(YEAR(J4),100)=0,MOD(DAY(J4)+INT(2.61*(MONTH(J4)+10)-0.2)+99+INT(99/4)+INT((INT(YEAR(J4)/100)-1)/4)-2*((INT(YEAR(J4)/100)-1)),7),MOD(DAY(J4)+INT(2.61*(MONTH(J4)+10)-0.2)+MOD(YEAR(J4),100)-1+INT((MOD(YEAR(J4),100)-1)/4)+INT((INT(YEAR(J4)/100))/4)-2*((INT(YEAR(J4)/100))),7))),$A$14:$B$20,2)</f>
        <v>Montag</v>
      </c>
      <c r="L4" s="10"/>
      <c r="M4" s="10" t="s">
        <v>80</v>
      </c>
      <c r="N4" s="10"/>
      <c r="O4" s="10"/>
      <c r="P4" s="10"/>
      <c r="Q4" s="10"/>
      <c r="R4" s="10"/>
      <c r="S4" s="10"/>
      <c r="T4" s="11"/>
    </row>
    <row r="5" spans="1:20" ht="12.75">
      <c r="A5" s="12" t="s">
        <v>22</v>
      </c>
      <c r="B5" s="13"/>
      <c r="C5" s="13" t="s">
        <v>93</v>
      </c>
      <c r="D5" s="14"/>
      <c r="F5" s="12" t="s">
        <v>26</v>
      </c>
      <c r="G5" s="13">
        <f>MOD(G4,19)</f>
        <v>12</v>
      </c>
      <c r="H5" s="19" t="s">
        <v>67</v>
      </c>
      <c r="I5" s="10"/>
      <c r="J5" s="28">
        <f>G17-46</f>
        <v>39134</v>
      </c>
      <c r="K5" s="9" t="str">
        <f>VLOOKUP(IF(MONTH(J5)&gt;2,MOD(DAY(J5)+INT(2.61*(MONTH(J5)-2)-0.2)+MOD(YEAR(J5),100)+INT(MOD(YEAR(J5),100)/4)+INT(INT(YEAR(J5)/100)/4)-2*(INT(YEAR(J5)/100)),7),IF(MOD(YEAR(J5),100)=0,MOD(DAY(J5)+INT(2.61*(MONTH(J5)+10)-0.2)+99+INT(99/4)+INT((INT(YEAR(J5)/100)-1)/4)-2*((INT(YEAR(J5)/100)-1)),7),MOD(DAY(J5)+INT(2.61*(MONTH(J5)+10)-0.2)+MOD(YEAR(J5),100)-1+INT((MOD(YEAR(J5),100)-1)/4)+INT((INT(YEAR(J5)/100))/4)-2*((INT(YEAR(J5)/100))),7))),$A$14:$B$20,2)</f>
        <v>Mittwoch</v>
      </c>
      <c r="L5" s="10"/>
      <c r="M5" s="10" t="s">
        <v>135</v>
      </c>
      <c r="N5" s="10"/>
      <c r="O5" s="10"/>
      <c r="P5" s="10" t="s">
        <v>87</v>
      </c>
      <c r="Q5" s="10"/>
      <c r="R5" s="10"/>
      <c r="S5" s="10"/>
      <c r="T5" s="11"/>
    </row>
    <row r="6" spans="1:20" ht="12.75">
      <c r="A6" s="12" t="s">
        <v>17</v>
      </c>
      <c r="B6" s="13">
        <f>YEAR(A4)</f>
        <v>2007</v>
      </c>
      <c r="C6" s="13">
        <f>C7*100+C8</f>
        <v>2006</v>
      </c>
      <c r="D6" s="14"/>
      <c r="F6" s="12" t="s">
        <v>27</v>
      </c>
      <c r="G6" s="13">
        <f>MOD(G4,4)</f>
        <v>3</v>
      </c>
      <c r="H6" s="19" t="s">
        <v>79</v>
      </c>
      <c r="I6" s="10"/>
      <c r="J6" s="28">
        <f>G17-2</f>
        <v>39178</v>
      </c>
      <c r="K6" s="9" t="str">
        <f aca="true" t="shared" si="0" ref="K6:K20">VLOOKUP(IF(MONTH(J6)&gt;2,MOD(DAY(J6)+INT(2.61*(MONTH(J6)-2)-0.2)+MOD(YEAR(J6),100)+INT(MOD(YEAR(J6),100)/4)+INT(INT(YEAR(J6)/100)/4)-2*(INT(YEAR(J6)/100)),7),IF(MOD(YEAR(J6),100)=0,MOD(DAY(J6)+INT(2.61*(MONTH(J6)+10)-0.2)+99+INT(99/4)+INT((INT(YEAR(J6)/100)-1)/4)-2*((INT(YEAR(J6)/100)-1)),7),MOD(DAY(J6)+INT(2.61*(MONTH(J6)+10)-0.2)+MOD(YEAR(J6),100)-1+INT((MOD(YEAR(J6),100)-1)/4)+INT((INT(YEAR(J6)/100))/4)-2*((INT(YEAR(J6)/100))),7))),$A$14:$B$20,2)</f>
        <v>Freitag</v>
      </c>
      <c r="L6" s="10"/>
      <c r="M6" s="10" t="s">
        <v>80</v>
      </c>
      <c r="N6" s="10" t="s">
        <v>80</v>
      </c>
      <c r="O6" s="10"/>
      <c r="P6" s="10" t="s">
        <v>89</v>
      </c>
      <c r="Q6" s="10"/>
      <c r="R6" s="10"/>
      <c r="S6" s="10"/>
      <c r="T6" s="11"/>
    </row>
    <row r="7" spans="1:20" ht="12.75">
      <c r="A7" s="12" t="s">
        <v>18</v>
      </c>
      <c r="B7" s="13">
        <f>INT(B6/100)</f>
        <v>20</v>
      </c>
      <c r="C7" s="13">
        <f>IF(B9-2=C9,B7,IF(B8=0,B7-1,B7))</f>
        <v>20</v>
      </c>
      <c r="D7" s="14"/>
      <c r="F7" s="12" t="s">
        <v>28</v>
      </c>
      <c r="G7" s="13">
        <f>MOD(G4,7)</f>
        <v>5</v>
      </c>
      <c r="H7" s="19" t="s">
        <v>36</v>
      </c>
      <c r="I7" s="10"/>
      <c r="J7" s="28">
        <f>G17+0</f>
        <v>39180</v>
      </c>
      <c r="K7" s="9" t="str">
        <f t="shared" si="0"/>
        <v>Sonntag</v>
      </c>
      <c r="L7" s="10"/>
      <c r="M7" s="10" t="s">
        <v>80</v>
      </c>
      <c r="N7" s="10" t="s">
        <v>80</v>
      </c>
      <c r="O7" s="10"/>
      <c r="P7" s="10" t="s">
        <v>86</v>
      </c>
      <c r="Q7" s="10"/>
      <c r="R7" s="10"/>
      <c r="S7" s="10"/>
      <c r="T7" s="11"/>
    </row>
    <row r="8" spans="1:20" ht="12.75">
      <c r="A8" s="12" t="s">
        <v>19</v>
      </c>
      <c r="B8" s="13">
        <f>MOD(B6,100)</f>
        <v>7</v>
      </c>
      <c r="C8" s="13">
        <f>IF(B9-2=C9,B8,IF(B8=0,99,B8-1))</f>
        <v>6</v>
      </c>
      <c r="D8" s="14"/>
      <c r="F8" s="12" t="s">
        <v>29</v>
      </c>
      <c r="G8" s="13">
        <f>INT((8*INT(G4/100)+13)/25)-2</f>
        <v>4</v>
      </c>
      <c r="H8" s="19" t="s">
        <v>78</v>
      </c>
      <c r="I8" s="10"/>
      <c r="J8" s="28">
        <f>G17+1</f>
        <v>39181</v>
      </c>
      <c r="K8" s="9" t="str">
        <f t="shared" si="0"/>
        <v>Montag</v>
      </c>
      <c r="L8" s="10"/>
      <c r="M8" s="10" t="s">
        <v>80</v>
      </c>
      <c r="N8" s="10" t="s">
        <v>80</v>
      </c>
      <c r="O8" s="10"/>
      <c r="P8" s="10" t="s">
        <v>86</v>
      </c>
      <c r="Q8" s="10"/>
      <c r="R8" s="10"/>
      <c r="S8" s="10"/>
      <c r="T8" s="11"/>
    </row>
    <row r="9" spans="1:20" ht="12.75">
      <c r="A9" s="12" t="s">
        <v>20</v>
      </c>
      <c r="B9" s="13">
        <f>MONTH(A4)</f>
        <v>1</v>
      </c>
      <c r="C9" s="13">
        <f>IF(B9&lt;3,B9+10,B9-2)</f>
        <v>11</v>
      </c>
      <c r="D9" s="14"/>
      <c r="F9" s="12" t="s">
        <v>30</v>
      </c>
      <c r="G9" s="13">
        <f>INT(G4/100)-INT(G4/400)-2</f>
        <v>13</v>
      </c>
      <c r="H9" s="19" t="s">
        <v>68</v>
      </c>
      <c r="I9" s="10"/>
      <c r="J9" s="28">
        <f>G17+39</f>
        <v>39219</v>
      </c>
      <c r="K9" s="9" t="str">
        <f t="shared" si="0"/>
        <v>Donnerstag</v>
      </c>
      <c r="L9" s="10"/>
      <c r="M9" s="10" t="s">
        <v>80</v>
      </c>
      <c r="N9" s="10"/>
      <c r="O9" s="10"/>
      <c r="P9" s="10" t="s">
        <v>86</v>
      </c>
      <c r="Q9" s="10"/>
      <c r="R9" s="10"/>
      <c r="S9" s="10"/>
      <c r="T9" s="11"/>
    </row>
    <row r="10" spans="1:20" ht="12.75">
      <c r="A10" s="12" t="s">
        <v>21</v>
      </c>
      <c r="B10" s="13">
        <f>DAY(A4)</f>
        <v>22</v>
      </c>
      <c r="C10" s="13">
        <f>B10</f>
        <v>22</v>
      </c>
      <c r="D10" s="14"/>
      <c r="F10" s="12" t="s">
        <v>31</v>
      </c>
      <c r="G10" s="13">
        <f>MOD((15+G9-G8),30)</f>
        <v>24</v>
      </c>
      <c r="H10" s="19" t="s">
        <v>69</v>
      </c>
      <c r="I10" s="10"/>
      <c r="J10" s="28">
        <f>G17+49</f>
        <v>39229</v>
      </c>
      <c r="K10" s="9" t="str">
        <f t="shared" si="0"/>
        <v>Sonntag</v>
      </c>
      <c r="L10" s="10"/>
      <c r="M10" s="10" t="s">
        <v>80</v>
      </c>
      <c r="N10" s="10"/>
      <c r="O10" s="10"/>
      <c r="P10" s="10" t="s">
        <v>86</v>
      </c>
      <c r="Q10" s="10"/>
      <c r="R10" s="10"/>
      <c r="S10" s="10"/>
      <c r="T10" s="11"/>
    </row>
    <row r="11" spans="1:20" ht="12.75">
      <c r="A11" s="12"/>
      <c r="B11" s="13"/>
      <c r="C11" s="13"/>
      <c r="D11" s="14"/>
      <c r="F11" s="12" t="s">
        <v>32</v>
      </c>
      <c r="G11" s="13">
        <f>MOD((6+G9),7)</f>
        <v>5</v>
      </c>
      <c r="H11" s="19" t="s">
        <v>14</v>
      </c>
      <c r="I11" s="10"/>
      <c r="J11" s="28">
        <f>G17+50</f>
        <v>39230</v>
      </c>
      <c r="K11" s="9" t="str">
        <f t="shared" si="0"/>
        <v>Montag</v>
      </c>
      <c r="L11" s="10"/>
      <c r="M11" s="10" t="s">
        <v>80</v>
      </c>
      <c r="N11" s="10"/>
      <c r="O11" s="10"/>
      <c r="P11" s="10" t="s">
        <v>86</v>
      </c>
      <c r="Q11" s="10"/>
      <c r="R11" s="10"/>
      <c r="S11" s="10"/>
      <c r="T11" s="11"/>
    </row>
    <row r="12" spans="1:20" ht="12.75">
      <c r="A12" s="15" t="s">
        <v>22</v>
      </c>
      <c r="B12" s="13">
        <f>IF(MONTH(A4)&gt;2,MOD(DAY(A4)+INT(2.61*(MONTH(A4)-2)-0.2)+MOD(YEAR(A4),100)+INT(MOD(YEAR(A4),100)/4)+INT(INT(YEAR(A4)/100)/4)-2*(INT(YEAR(A4)/100)),7),IF(MOD(YEAR(A4),100)=0,MOD(DAY(A4)+INT(2.61*(MONTH(A4)+10)-0.2)+99+INT(99/4)+INT((INT(YEAR(A4)/100)-1)/4)-2*((INT(YEAR(A4)/100)-1)),7),MOD(DAY(A4)+INT(2.61*(MONTH(A4)+10)-0.2)+MOD(YEAR(A4),100)-1+INT((MOD(YEAR(A4),100)-1)/4)+INT((INT(YEAR(A4)/100))/4)-2*((INT(YEAR(A4)/100))),7)))</f>
        <v>1</v>
      </c>
      <c r="C12" s="13">
        <f>MOD(C10+INT(2.61*C9-0.2)+C8+INT(C8/4)+INT(C7/4)-2*C7,7)</f>
        <v>1</v>
      </c>
      <c r="D12" s="16" t="s">
        <v>23</v>
      </c>
      <c r="F12" s="12" t="s">
        <v>33</v>
      </c>
      <c r="G12" s="13">
        <f>MOD(G10+19*G5,30)</f>
        <v>12</v>
      </c>
      <c r="H12" s="19" t="s">
        <v>70</v>
      </c>
      <c r="I12" s="10"/>
      <c r="J12" s="28">
        <f>G17+60</f>
        <v>39240</v>
      </c>
      <c r="K12" s="9" t="str">
        <f t="shared" si="0"/>
        <v>Donnerstag</v>
      </c>
      <c r="L12" s="10"/>
      <c r="M12" s="10" t="s">
        <v>80</v>
      </c>
      <c r="N12" s="10"/>
      <c r="O12" s="10"/>
      <c r="P12" s="10" t="s">
        <v>95</v>
      </c>
      <c r="Q12" s="10"/>
      <c r="R12" s="10"/>
      <c r="S12" s="10"/>
      <c r="T12" s="11"/>
    </row>
    <row r="13" spans="1:20" ht="12.75">
      <c r="A13" s="12" t="s">
        <v>65</v>
      </c>
      <c r="B13" s="13">
        <f>B12+1</f>
        <v>2</v>
      </c>
      <c r="C13" s="13">
        <f>C12+1</f>
        <v>2</v>
      </c>
      <c r="D13" s="14">
        <f>WEEKDAY(A4,1)</f>
        <v>2</v>
      </c>
      <c r="F13" s="12" t="s">
        <v>34</v>
      </c>
      <c r="G13" s="13">
        <f>IF(G12=29,28,IF(AND(G12=28,G5&gt;=11),27,G12))</f>
        <v>12</v>
      </c>
      <c r="H13" s="17" t="s">
        <v>72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7"/>
    </row>
    <row r="14" spans="1:20" ht="12.75">
      <c r="A14" s="17">
        <v>0</v>
      </c>
      <c r="B14" s="18" t="s">
        <v>55</v>
      </c>
      <c r="C14" s="10"/>
      <c r="D14" s="11"/>
      <c r="F14" s="12" t="s">
        <v>35</v>
      </c>
      <c r="G14" s="13">
        <f>MOD(2*G6+4*G7+6*G13+G11,7)</f>
        <v>5</v>
      </c>
      <c r="H14" s="19" t="s">
        <v>66</v>
      </c>
      <c r="I14" s="10"/>
      <c r="J14" s="28">
        <f aca="true" t="shared" si="1" ref="J14:J20">L14+0</f>
        <v>39083</v>
      </c>
      <c r="K14" s="9" t="str">
        <f t="shared" si="0"/>
        <v>Montag</v>
      </c>
      <c r="L14" s="10" t="str">
        <f>"01.01."&amp;$G$4</f>
        <v>01.01.2007</v>
      </c>
      <c r="M14" s="10" t="s">
        <v>80</v>
      </c>
      <c r="N14" s="10" t="s">
        <v>80</v>
      </c>
      <c r="O14" s="10"/>
      <c r="P14" s="10" t="s">
        <v>86</v>
      </c>
      <c r="Q14" s="10"/>
      <c r="R14" s="10"/>
      <c r="S14" s="10"/>
      <c r="T14" s="11"/>
    </row>
    <row r="15" spans="1:20" ht="12.75">
      <c r="A15" s="17">
        <v>1</v>
      </c>
      <c r="B15" s="18" t="s">
        <v>56</v>
      </c>
      <c r="C15" s="10"/>
      <c r="D15" s="11"/>
      <c r="F15" s="24" t="str">
        <f>"21.03."&amp;G4</f>
        <v>21.03.2007</v>
      </c>
      <c r="G15" s="51" t="str">
        <f>F15</f>
        <v>21.03.2007</v>
      </c>
      <c r="H15" s="19" t="s">
        <v>76</v>
      </c>
      <c r="I15" s="10"/>
      <c r="J15" s="28">
        <f t="shared" si="1"/>
        <v>39088</v>
      </c>
      <c r="K15" s="9" t="str">
        <f t="shared" si="0"/>
        <v>Samstag</v>
      </c>
      <c r="L15" s="10" t="str">
        <f>"06.01."&amp;$G$4</f>
        <v>06.01.2007</v>
      </c>
      <c r="M15" s="10" t="s">
        <v>135</v>
      </c>
      <c r="N15" s="10"/>
      <c r="O15" s="10"/>
      <c r="P15" s="10" t="s">
        <v>89</v>
      </c>
      <c r="Q15" s="10"/>
      <c r="R15" s="10"/>
      <c r="S15" s="10"/>
      <c r="T15" s="11"/>
    </row>
    <row r="16" spans="1:20" ht="12.75">
      <c r="A16" s="17">
        <v>2</v>
      </c>
      <c r="B16" s="18" t="s">
        <v>57</v>
      </c>
      <c r="C16" s="10"/>
      <c r="D16" s="11"/>
      <c r="F16" s="12"/>
      <c r="G16" s="13">
        <f>G13+G14+1</f>
        <v>18</v>
      </c>
      <c r="H16" s="19" t="s">
        <v>73</v>
      </c>
      <c r="I16" s="10"/>
      <c r="J16" s="28">
        <f t="shared" si="1"/>
        <v>39203</v>
      </c>
      <c r="K16" s="9" t="str">
        <f t="shared" si="0"/>
        <v>Dienstag</v>
      </c>
      <c r="L16" s="10" t="str">
        <f>"01.05."&amp;$G$4</f>
        <v>01.05.2007</v>
      </c>
      <c r="M16" s="10" t="s">
        <v>80</v>
      </c>
      <c r="N16" s="10" t="s">
        <v>80</v>
      </c>
      <c r="O16" s="10"/>
      <c r="P16" s="10" t="s">
        <v>86</v>
      </c>
      <c r="Q16" s="10"/>
      <c r="R16" s="10"/>
      <c r="S16" s="10"/>
      <c r="T16" s="11"/>
    </row>
    <row r="17" spans="1:20" ht="12.75">
      <c r="A17" s="17">
        <v>3</v>
      </c>
      <c r="B17" s="18" t="s">
        <v>58</v>
      </c>
      <c r="C17" s="10"/>
      <c r="D17" s="11"/>
      <c r="F17" s="25" t="s">
        <v>36</v>
      </c>
      <c r="G17" s="28">
        <f>G15+(G13+G14+1)</f>
        <v>39180</v>
      </c>
      <c r="H17" s="19" t="s">
        <v>82</v>
      </c>
      <c r="I17" s="10"/>
      <c r="J17" s="28">
        <f t="shared" si="1"/>
        <v>39309</v>
      </c>
      <c r="K17" s="9" t="str">
        <f t="shared" si="0"/>
        <v>Mittwoch</v>
      </c>
      <c r="L17" s="10" t="str">
        <f>"15.08."&amp;$G$4</f>
        <v>15.08.2007</v>
      </c>
      <c r="M17" s="10" t="s">
        <v>135</v>
      </c>
      <c r="N17" s="10"/>
      <c r="O17" s="10"/>
      <c r="P17" s="10" t="s">
        <v>81</v>
      </c>
      <c r="Q17" s="10"/>
      <c r="R17" s="10"/>
      <c r="S17" s="10"/>
      <c r="T17" s="11"/>
    </row>
    <row r="18" spans="1:20" ht="13.5" thickBot="1">
      <c r="A18" s="17">
        <v>4</v>
      </c>
      <c r="B18" s="18" t="s">
        <v>59</v>
      </c>
      <c r="C18" s="10"/>
      <c r="D18" s="11"/>
      <c r="F18" s="26"/>
      <c r="G18" s="52">
        <f>G15+G16</f>
        <v>39180</v>
      </c>
      <c r="H18" s="19" t="s">
        <v>88</v>
      </c>
      <c r="I18" s="10"/>
      <c r="J18" s="28">
        <f t="shared" si="1"/>
        <v>39358</v>
      </c>
      <c r="K18" s="9" t="str">
        <f t="shared" si="0"/>
        <v>Mittwoch</v>
      </c>
      <c r="L18" s="10" t="str">
        <f>"03.10."&amp;$G$4</f>
        <v>03.10.2007</v>
      </c>
      <c r="M18" s="10" t="s">
        <v>80</v>
      </c>
      <c r="N18" s="10"/>
      <c r="O18" s="10"/>
      <c r="P18" s="10" t="s">
        <v>86</v>
      </c>
      <c r="Q18" s="10"/>
      <c r="R18" s="10"/>
      <c r="S18" s="10"/>
      <c r="T18" s="11"/>
    </row>
    <row r="19" spans="1:20" ht="12.75">
      <c r="A19" s="17">
        <v>5</v>
      </c>
      <c r="B19" s="18" t="s">
        <v>60</v>
      </c>
      <c r="C19" s="10"/>
      <c r="D19" s="11"/>
      <c r="H19" s="19" t="s">
        <v>83</v>
      </c>
      <c r="I19" s="10"/>
      <c r="J19" s="28">
        <f t="shared" si="1"/>
        <v>39386</v>
      </c>
      <c r="K19" s="9" t="str">
        <f t="shared" si="0"/>
        <v>Mittwoch</v>
      </c>
      <c r="L19" s="10" t="str">
        <f>"31.10."&amp;$G$4</f>
        <v>31.10.2007</v>
      </c>
      <c r="M19" s="10" t="s">
        <v>135</v>
      </c>
      <c r="N19" s="10"/>
      <c r="O19" s="10"/>
      <c r="P19" s="10" t="s">
        <v>94</v>
      </c>
      <c r="Q19" s="10"/>
      <c r="R19" s="10"/>
      <c r="S19" s="10"/>
      <c r="T19" s="11"/>
    </row>
    <row r="20" spans="1:20" ht="12.75">
      <c r="A20" s="17">
        <v>6</v>
      </c>
      <c r="B20" s="18" t="s">
        <v>63</v>
      </c>
      <c r="C20" s="10"/>
      <c r="D20" s="11"/>
      <c r="H20" s="19" t="s">
        <v>84</v>
      </c>
      <c r="I20" s="10"/>
      <c r="J20" s="28">
        <f t="shared" si="1"/>
        <v>39387</v>
      </c>
      <c r="K20" s="9" t="str">
        <f t="shared" si="0"/>
        <v>Donnerstag</v>
      </c>
      <c r="L20" s="10" t="str">
        <f>"01.11."&amp;$G$4</f>
        <v>01.11.2007</v>
      </c>
      <c r="M20" s="10" t="s">
        <v>80</v>
      </c>
      <c r="N20" s="10"/>
      <c r="O20" s="10"/>
      <c r="P20" s="10" t="s">
        <v>90</v>
      </c>
      <c r="Q20" s="10"/>
      <c r="R20" s="10"/>
      <c r="S20" s="10"/>
      <c r="T20" s="11"/>
    </row>
    <row r="21" spans="1:20" ht="12.75">
      <c r="A21" s="19" t="s">
        <v>24</v>
      </c>
      <c r="B21" s="10"/>
      <c r="C21" s="10"/>
      <c r="D21" s="11"/>
      <c r="H21" s="19" t="s">
        <v>85</v>
      </c>
      <c r="I21" s="10"/>
      <c r="J21" s="28">
        <f>L21+0</f>
        <v>39440</v>
      </c>
      <c r="K21" s="9" t="str">
        <f>VLOOKUP(IF(MONTH(J21)&gt;2,MOD(DAY(J21)+INT(2.61*(MONTH(J21)-2)-0.2)+MOD(YEAR(J21),100)+INT(MOD(YEAR(J21),100)/4)+INT(INT(YEAR(J21)/100)/4)-2*(INT(YEAR(J21)/100)),7),IF(MOD(YEAR(J21),100)=0,MOD(DAY(J21)+INT(2.61*(MONTH(J21)+10)-0.2)+99+INT(99/4)+INT((INT(YEAR(J21)/100)-1)/4)-2*((INT(YEAR(J21)/100)-1)),7),MOD(DAY(J21)+INT(2.61*(MONTH(J21)+10)-0.2)+MOD(YEAR(J21),100)-1+INT((MOD(YEAR(J21),100)-1)/4)+INT((INT(YEAR(J21)/100))/4)-2*((INT(YEAR(J21)/100))),7))),$A$14:$B$20,2)</f>
        <v>Montag</v>
      </c>
      <c r="L21" s="10" t="str">
        <f>"24.12."&amp;$G$4</f>
        <v>24.12.2007</v>
      </c>
      <c r="M21" s="10" t="s">
        <v>80</v>
      </c>
      <c r="N21" s="10"/>
      <c r="O21" s="10" t="s">
        <v>80</v>
      </c>
      <c r="P21" s="10" t="s">
        <v>87</v>
      </c>
      <c r="Q21" s="10"/>
      <c r="R21" s="10"/>
      <c r="S21" s="10"/>
      <c r="T21" s="11"/>
    </row>
    <row r="22" spans="1:20" ht="13.5" thickBot="1">
      <c r="A22" s="20" t="s">
        <v>25</v>
      </c>
      <c r="B22" s="21"/>
      <c r="C22" s="21"/>
      <c r="D22" s="22"/>
      <c r="H22" s="19" t="s">
        <v>74</v>
      </c>
      <c r="I22" s="10"/>
      <c r="J22" s="28">
        <f>L22+0</f>
        <v>39441</v>
      </c>
      <c r="K22" s="9" t="str">
        <f>VLOOKUP(IF(MONTH(J22)&gt;2,MOD(DAY(J22)+INT(2.61*(MONTH(J22)-2)-0.2)+MOD(YEAR(J22),100)+INT(MOD(YEAR(J22),100)/4)+INT(INT(YEAR(J22)/100)/4)-2*(INT(YEAR(J22)/100)),7),IF(MOD(YEAR(J22),100)=0,MOD(DAY(J22)+INT(2.61*(MONTH(J22)+10)-0.2)+99+INT(99/4)+INT((INT(YEAR(J22)/100)-1)/4)-2*((INT(YEAR(J22)/100)-1)),7),MOD(DAY(J22)+INT(2.61*(MONTH(J22)+10)-0.2)+MOD(YEAR(J22),100)-1+INT((MOD(YEAR(J22),100)-1)/4)+INT((INT(YEAR(J22)/100))/4)-2*((INT(YEAR(J22)/100))),7))),$A$14:$B$20,2)</f>
        <v>Dienstag</v>
      </c>
      <c r="L22" s="10" t="str">
        <f>"25.12."&amp;$G$4</f>
        <v>25.12.2007</v>
      </c>
      <c r="M22" s="10" t="s">
        <v>80</v>
      </c>
      <c r="N22" s="10" t="s">
        <v>80</v>
      </c>
      <c r="O22" s="10"/>
      <c r="P22" s="10" t="s">
        <v>86</v>
      </c>
      <c r="Q22" s="10"/>
      <c r="R22" s="10"/>
      <c r="S22" s="10"/>
      <c r="T22" s="11"/>
    </row>
    <row r="23" spans="1:20" ht="12.75">
      <c r="A23" t="s">
        <v>3</v>
      </c>
      <c r="H23" s="19" t="s">
        <v>75</v>
      </c>
      <c r="I23" s="10"/>
      <c r="J23" s="28">
        <f>L23+0</f>
        <v>39442</v>
      </c>
      <c r="K23" s="9" t="str">
        <f>VLOOKUP(IF(MONTH(J23)&gt;2,MOD(DAY(J23)+INT(2.61*(MONTH(J23)-2)-0.2)+MOD(YEAR(J23),100)+INT(MOD(YEAR(J23),100)/4)+INT(INT(YEAR(J23)/100)/4)-2*(INT(YEAR(J23)/100)),7),IF(MOD(YEAR(J23),100)=0,MOD(DAY(J23)+INT(2.61*(MONTH(J23)+10)-0.2)+99+INT(99/4)+INT((INT(YEAR(J23)/100)-1)/4)-2*((INT(YEAR(J23)/100)-1)),7),MOD(DAY(J23)+INT(2.61*(MONTH(J23)+10)-0.2)+MOD(YEAR(J23),100)-1+INT((MOD(YEAR(J23),100)-1)/4)+INT((INT(YEAR(J23)/100))/4)-2*((INT(YEAR(J23)/100))),7))),$A$14:$B$20,2)</f>
        <v>Mittwoch</v>
      </c>
      <c r="L23" s="10" t="str">
        <f>"26.12."&amp;$G$4</f>
        <v>26.12.2007</v>
      </c>
      <c r="M23" s="10" t="s">
        <v>80</v>
      </c>
      <c r="N23" s="10" t="s">
        <v>80</v>
      </c>
      <c r="O23" s="10"/>
      <c r="P23" s="10" t="s">
        <v>86</v>
      </c>
      <c r="Q23" s="10"/>
      <c r="R23" s="10"/>
      <c r="S23" s="10"/>
      <c r="T23" s="11"/>
    </row>
    <row r="24" spans="1:20" ht="12.75">
      <c r="A24" s="119" t="s">
        <v>4</v>
      </c>
      <c r="H24" s="19" t="s">
        <v>213</v>
      </c>
      <c r="I24" s="10"/>
      <c r="J24" s="28">
        <f>L24+0</f>
        <v>39447</v>
      </c>
      <c r="K24" s="9" t="str">
        <f>VLOOKUP(IF(MONTH(J24)&gt;2,MOD(DAY(J24)+INT(2.61*(MONTH(J24)-2)-0.2)+MOD(YEAR(J24),100)+INT(MOD(YEAR(J24),100)/4)+INT(INT(YEAR(J24)/100)/4)-2*(INT(YEAR(J24)/100)),7),IF(MOD(YEAR(J24),100)=0,MOD(DAY(J24)+INT(2.61*(MONTH(J24)+10)-0.2)+99+INT(99/4)+INT((INT(YEAR(J24)/100)-1)/4)-2*((INT(YEAR(J24)/100)-1)),7),MOD(DAY(J24)+INT(2.61*(MONTH(J24)+10)-0.2)+MOD(YEAR(J24),100)-1+INT((MOD(YEAR(J24),100)-1)/4)+INT((INT(YEAR(J24)/100))/4)-2*((INT(YEAR(J24)/100))),7))),$A$14:$B$20,2)</f>
        <v>Montag</v>
      </c>
      <c r="L24" s="10" t="str">
        <f>"31.12."&amp;$G$4</f>
        <v>31.12.2007</v>
      </c>
      <c r="M24" s="10" t="s">
        <v>80</v>
      </c>
      <c r="N24" s="10"/>
      <c r="O24" s="10" t="s">
        <v>80</v>
      </c>
      <c r="P24" s="10" t="s">
        <v>87</v>
      </c>
      <c r="Q24" s="10"/>
      <c r="R24" s="10"/>
      <c r="S24" s="10"/>
      <c r="T24" s="11"/>
    </row>
    <row r="25" spans="1:20" ht="12.75">
      <c r="A25" t="s">
        <v>5</v>
      </c>
      <c r="C25">
        <f>MOD(C10+INT(2.61*C9-0.2)+C8+INT(C8/4)+INT(C7/4)+5*C7,7)</f>
        <v>1</v>
      </c>
      <c r="H25" s="17" t="s">
        <v>11</v>
      </c>
      <c r="I25" s="18"/>
      <c r="J25" s="18"/>
      <c r="K25" s="18"/>
      <c r="L25" s="18" t="s">
        <v>109</v>
      </c>
      <c r="M25" s="18" t="s">
        <v>21</v>
      </c>
      <c r="N25" s="18" t="s">
        <v>133</v>
      </c>
      <c r="O25" s="18"/>
      <c r="P25" s="18"/>
      <c r="Q25" s="18"/>
      <c r="R25" s="18"/>
      <c r="S25" s="18"/>
      <c r="T25" s="27"/>
    </row>
    <row r="26" spans="1:20" ht="12.75">
      <c r="A26" t="s">
        <v>5</v>
      </c>
      <c r="C26">
        <f>MOD(C10+INT((26*(C9+3))/10)+C8+INT(C8/4)+INT(C7/4)-2*C7-1,7)</f>
        <v>1</v>
      </c>
      <c r="H26" s="19" t="s">
        <v>12</v>
      </c>
      <c r="I26" s="10"/>
      <c r="J26" s="9"/>
      <c r="K26" s="9"/>
      <c r="L26" s="10" t="str">
        <f>"01.05."&amp;$G$4</f>
        <v>01.05.2007</v>
      </c>
      <c r="M26" s="10">
        <v>0</v>
      </c>
      <c r="N26" s="10">
        <v>2</v>
      </c>
      <c r="O26" s="10"/>
      <c r="P26" s="10"/>
      <c r="Q26" s="10"/>
      <c r="R26" s="10"/>
      <c r="S26" s="10"/>
      <c r="T26" s="11"/>
    </row>
    <row r="27" spans="1:20" ht="12.75">
      <c r="A27" t="s">
        <v>5</v>
      </c>
      <c r="C27">
        <f>MOD(C10+INT((26*(C9+3))/10)+C8+INT(C8/4)+INT(C7/4)+5*C7-1,7)</f>
        <v>1</v>
      </c>
      <c r="H27" s="19" t="s">
        <v>10</v>
      </c>
      <c r="I27" s="10"/>
      <c r="J27" s="9"/>
      <c r="K27" s="9"/>
      <c r="L27" s="10" t="str">
        <f aca="true" t="shared" si="2" ref="L27:L33">"24.12."&amp;$G$4</f>
        <v>24.12.2007</v>
      </c>
      <c r="M27" s="10">
        <v>0</v>
      </c>
      <c r="N27" s="10">
        <v>-6</v>
      </c>
      <c r="O27" s="10"/>
      <c r="P27" s="10"/>
      <c r="Q27" s="10"/>
      <c r="R27" s="10"/>
      <c r="S27" s="10"/>
      <c r="T27" s="11"/>
    </row>
    <row r="28" spans="1:20" ht="12.75">
      <c r="A28" t="s">
        <v>233</v>
      </c>
      <c r="H28" s="19" t="s">
        <v>7</v>
      </c>
      <c r="I28" s="10"/>
      <c r="J28" s="9"/>
      <c r="K28" s="9"/>
      <c r="L28" s="10">
        <f>J30</f>
        <v>0</v>
      </c>
      <c r="M28" s="10">
        <v>3</v>
      </c>
      <c r="N28" s="10">
        <v>-2</v>
      </c>
      <c r="O28" s="10"/>
      <c r="P28" s="10"/>
      <c r="Q28" s="10"/>
      <c r="R28" s="10"/>
      <c r="S28" s="10"/>
      <c r="T28" s="11"/>
    </row>
    <row r="29" spans="1:20" ht="12.75">
      <c r="A29" s="132" t="s">
        <v>15</v>
      </c>
      <c r="C29" s="92"/>
      <c r="H29" s="19" t="s">
        <v>9</v>
      </c>
      <c r="I29" s="10"/>
      <c r="J29" s="9"/>
      <c r="K29" s="9"/>
      <c r="L29" s="10" t="str">
        <f t="shared" si="2"/>
        <v>24.12.2007</v>
      </c>
      <c r="M29" s="10">
        <v>0</v>
      </c>
      <c r="N29" s="10">
        <v>-5</v>
      </c>
      <c r="O29" s="10"/>
      <c r="P29" s="10"/>
      <c r="Q29" s="10"/>
      <c r="R29" s="10"/>
      <c r="S29" s="10"/>
      <c r="T29" s="11"/>
    </row>
    <row r="30" spans="8:20" ht="12.75">
      <c r="H30" s="19" t="s">
        <v>8</v>
      </c>
      <c r="I30" s="10"/>
      <c r="J30" s="9"/>
      <c r="K30" s="9"/>
      <c r="L30" s="10" t="str">
        <f>"24.12."&amp;$G$4</f>
        <v>24.12.2007</v>
      </c>
      <c r="M30" s="10">
        <v>0</v>
      </c>
      <c r="N30" s="10">
        <v>-4</v>
      </c>
      <c r="O30" s="10"/>
      <c r="P30" s="10"/>
      <c r="Q30" s="10"/>
      <c r="R30" s="10"/>
      <c r="S30" s="10"/>
      <c r="T30" s="11"/>
    </row>
    <row r="31" spans="8:20" ht="12.75">
      <c r="H31" s="19" t="s">
        <v>210</v>
      </c>
      <c r="I31" s="10"/>
      <c r="J31" s="9"/>
      <c r="K31" s="9"/>
      <c r="L31" s="10" t="str">
        <f t="shared" si="2"/>
        <v>24.12.2007</v>
      </c>
      <c r="M31" s="10">
        <v>0</v>
      </c>
      <c r="N31" s="10">
        <v>-3</v>
      </c>
      <c r="O31" s="10"/>
      <c r="P31" s="10"/>
      <c r="Q31" s="10"/>
      <c r="R31" s="10"/>
      <c r="S31" s="10"/>
      <c r="T31" s="11"/>
    </row>
    <row r="32" spans="8:20" ht="12.75">
      <c r="H32" s="19" t="s">
        <v>211</v>
      </c>
      <c r="I32" s="10"/>
      <c r="J32" s="9"/>
      <c r="K32" s="9"/>
      <c r="L32" s="10" t="str">
        <f t="shared" si="2"/>
        <v>24.12.2007</v>
      </c>
      <c r="M32" s="10">
        <v>0</v>
      </c>
      <c r="N32" s="10">
        <v>-2</v>
      </c>
      <c r="O32" s="10"/>
      <c r="P32" s="10"/>
      <c r="Q32" s="10"/>
      <c r="R32" s="10"/>
      <c r="S32" s="10"/>
      <c r="T32" s="11"/>
    </row>
    <row r="33" spans="8:20" ht="12.75">
      <c r="H33" s="19" t="s">
        <v>212</v>
      </c>
      <c r="I33" s="10"/>
      <c r="J33" s="9"/>
      <c r="K33" s="9"/>
      <c r="L33" s="10" t="str">
        <f t="shared" si="2"/>
        <v>24.12.2007</v>
      </c>
      <c r="M33" s="10">
        <v>0</v>
      </c>
      <c r="N33" s="10">
        <v>-1</v>
      </c>
      <c r="O33" s="10"/>
      <c r="P33" s="10"/>
      <c r="Q33" s="10"/>
      <c r="R33" s="10"/>
      <c r="S33" s="10"/>
      <c r="T33" s="11"/>
    </row>
    <row r="34" spans="8:20" ht="13.5" thickBot="1">
      <c r="H34" s="20" t="s">
        <v>13</v>
      </c>
      <c r="I34" s="21"/>
      <c r="J34" s="29"/>
      <c r="K34" s="29"/>
      <c r="L34" s="21" t="str">
        <f>"01.11."&amp;$G$4</f>
        <v>01.11.2007</v>
      </c>
      <c r="M34" s="21">
        <v>4</v>
      </c>
      <c r="N34" s="21">
        <v>4</v>
      </c>
      <c r="O34" s="21"/>
      <c r="P34" s="21"/>
      <c r="Q34" s="21"/>
      <c r="R34" s="21"/>
      <c r="S34" s="21"/>
      <c r="T34" s="22"/>
    </row>
    <row r="35" spans="8:20" ht="12.75"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</sheetData>
  <hyperlinks>
    <hyperlink ref="A24" r:id="rId1" display="http://www.merlyn.demon.co.uk/zeller-c.htm"/>
  </hyperlinks>
  <printOptions/>
  <pageMargins left="0.75" right="0.75" top="1" bottom="1" header="0.4921259845" footer="0.4921259845"/>
  <pageSetup horizontalDpi="300" verticalDpi="3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/>
  <dimension ref="C1:J31"/>
  <sheetViews>
    <sheetView tabSelected="1" workbookViewId="0" topLeftCell="A3">
      <selection activeCell="A7" sqref="A7"/>
    </sheetView>
  </sheetViews>
  <sheetFormatPr defaultColWidth="11.421875" defaultRowHeight="12.75"/>
  <cols>
    <col min="1" max="16384" width="11.421875" style="37" customWidth="1"/>
  </cols>
  <sheetData>
    <row r="1" spans="7:10" ht="12.75">
      <c r="G1" s="137" t="s">
        <v>133</v>
      </c>
      <c r="H1" s="137" t="s">
        <v>133</v>
      </c>
      <c r="I1" s="137" t="s">
        <v>133</v>
      </c>
      <c r="J1" s="30" t="s">
        <v>262</v>
      </c>
    </row>
    <row r="2" spans="7:10" ht="12.75">
      <c r="G2" s="58">
        <v>1</v>
      </c>
      <c r="H2" s="58">
        <v>2</v>
      </c>
      <c r="I2" s="58">
        <v>4</v>
      </c>
      <c r="J2" s="49">
        <f>($D$5-(1/((1+$J$5*($C$5-INT($C$5)))*(1+$J$5)^INT($C$5))))^2</f>
        <v>0</v>
      </c>
    </row>
    <row r="3" spans="3:10" ht="12.75">
      <c r="C3" s="30" t="s">
        <v>257</v>
      </c>
      <c r="D3" s="30" t="s">
        <v>256</v>
      </c>
      <c r="E3" s="30" t="s">
        <v>254</v>
      </c>
      <c r="F3" s="30"/>
      <c r="G3" s="30"/>
      <c r="H3" s="30"/>
      <c r="I3" s="30"/>
      <c r="J3" s="30"/>
    </row>
    <row r="4" spans="3:10" ht="12.75">
      <c r="C4" s="30" t="s">
        <v>258</v>
      </c>
      <c r="D4" s="30" t="s">
        <v>96</v>
      </c>
      <c r="E4" s="30" t="s">
        <v>255</v>
      </c>
      <c r="F4" s="30" t="s">
        <v>209</v>
      </c>
      <c r="G4" s="30" t="s">
        <v>259</v>
      </c>
      <c r="H4" s="30" t="s">
        <v>260</v>
      </c>
      <c r="I4" s="30" t="s">
        <v>261</v>
      </c>
      <c r="J4" s="138" t="s">
        <v>223</v>
      </c>
    </row>
    <row r="5" spans="3:10" ht="12.75">
      <c r="C5" s="136">
        <v>1</v>
      </c>
      <c r="D5" s="31">
        <v>0.5</v>
      </c>
      <c r="E5" s="1">
        <f>-(1/C5)*LN(D5)</f>
        <v>0.6931471805599453</v>
      </c>
      <c r="F5" s="1">
        <f>(1/C5)*((1/D5)-1)</f>
        <v>1</v>
      </c>
      <c r="G5" s="1">
        <f>G2*(EXP(-(1/(G2*$C5))*LN($D5))-1)</f>
        <v>1</v>
      </c>
      <c r="H5" s="1">
        <f>H2*(EXP(-(1/(H2*$C5))*LN($D5))-1)</f>
        <v>0.8284271247461898</v>
      </c>
      <c r="I5" s="1">
        <f>I2*(EXP(-(1/(I2*$C5))*LN($D5))-1)</f>
        <v>0.7568284600108841</v>
      </c>
      <c r="J5" s="1">
        <v>1</v>
      </c>
    </row>
    <row r="6" spans="3:10" ht="12.75">
      <c r="C6" s="30" t="s">
        <v>32</v>
      </c>
      <c r="D6" s="30" t="s">
        <v>257</v>
      </c>
      <c r="E6" s="30" t="s">
        <v>255</v>
      </c>
      <c r="F6" s="30" t="s">
        <v>209</v>
      </c>
      <c r="G6" s="30" t="s">
        <v>259</v>
      </c>
      <c r="H6" s="30" t="s">
        <v>260</v>
      </c>
      <c r="I6" s="30" t="s">
        <v>261</v>
      </c>
      <c r="J6" s="30" t="s">
        <v>223</v>
      </c>
    </row>
    <row r="7" spans="3:10" ht="12.75">
      <c r="C7" s="1">
        <v>0</v>
      </c>
      <c r="D7" s="1">
        <f>C7/12</f>
        <v>0</v>
      </c>
      <c r="E7" s="1">
        <f>EXP(E$5*D7)</f>
        <v>1</v>
      </c>
      <c r="F7" s="1">
        <f>(1+F$5*D7)</f>
        <v>1</v>
      </c>
      <c r="G7" s="1">
        <f>(1+G$5/G$2)^($D7*G$2)</f>
        <v>1</v>
      </c>
      <c r="H7" s="1">
        <f aca="true" t="shared" si="0" ref="H7:I22">(1+H$5/H$2)^($D7*H$2)</f>
        <v>1</v>
      </c>
      <c r="I7" s="1">
        <f t="shared" si="0"/>
        <v>1</v>
      </c>
      <c r="J7" s="1">
        <f>(1+J$5*($D7-INT($D7)))*(1+J$5)^INT($D7)</f>
        <v>1</v>
      </c>
    </row>
    <row r="8" spans="3:10" ht="12.75">
      <c r="C8" s="1">
        <v>1</v>
      </c>
      <c r="D8" s="1">
        <f aca="true" t="shared" si="1" ref="D8:D31">C8/12</f>
        <v>0.08333333333333333</v>
      </c>
      <c r="E8" s="1">
        <f aca="true" t="shared" si="2" ref="E8:E31">EXP(E$5*D8)</f>
        <v>1.0594630943592953</v>
      </c>
      <c r="F8" s="1">
        <f aca="true" t="shared" si="3" ref="F8:F31">(1+F$5*D8)</f>
        <v>1.0833333333333333</v>
      </c>
      <c r="G8" s="1">
        <f aca="true" t="shared" si="4" ref="G8:I31">(1+G$5/G$2)^($D8*G$2)</f>
        <v>1.0594630943592953</v>
      </c>
      <c r="H8" s="1">
        <f t="shared" si="0"/>
        <v>1.0594630943592953</v>
      </c>
      <c r="I8" s="1">
        <f t="shared" si="0"/>
        <v>1.0594630943592953</v>
      </c>
      <c r="J8" s="1">
        <f aca="true" t="shared" si="5" ref="J8:J31">(1+J$5*($D8-INT($D8)))*(1+J$5)^INT($D8)</f>
        <v>1.0833333333333333</v>
      </c>
    </row>
    <row r="9" spans="3:10" ht="12.75">
      <c r="C9" s="1">
        <v>2</v>
      </c>
      <c r="D9" s="1">
        <f t="shared" si="1"/>
        <v>0.16666666666666666</v>
      </c>
      <c r="E9" s="1">
        <f t="shared" si="2"/>
        <v>1.122462048309373</v>
      </c>
      <c r="F9" s="1">
        <f t="shared" si="3"/>
        <v>1.1666666666666667</v>
      </c>
      <c r="G9" s="1">
        <f t="shared" si="4"/>
        <v>1.122462048309373</v>
      </c>
      <c r="H9" s="1">
        <f t="shared" si="0"/>
        <v>1.122462048309373</v>
      </c>
      <c r="I9" s="1">
        <f t="shared" si="0"/>
        <v>1.122462048309373</v>
      </c>
      <c r="J9" s="1">
        <f t="shared" si="5"/>
        <v>1.1666666666666667</v>
      </c>
    </row>
    <row r="10" spans="3:10" ht="12.75">
      <c r="C10" s="1">
        <v>3</v>
      </c>
      <c r="D10" s="1">
        <f t="shared" si="1"/>
        <v>0.25</v>
      </c>
      <c r="E10" s="1">
        <f t="shared" si="2"/>
        <v>1.189207115002721</v>
      </c>
      <c r="F10" s="1">
        <f t="shared" si="3"/>
        <v>1.25</v>
      </c>
      <c r="G10" s="1">
        <f t="shared" si="4"/>
        <v>1.189207115002721</v>
      </c>
      <c r="H10" s="1">
        <f t="shared" si="0"/>
        <v>1.189207115002721</v>
      </c>
      <c r="I10" s="1">
        <f t="shared" si="0"/>
        <v>1.189207115002721</v>
      </c>
      <c r="J10" s="1">
        <f t="shared" si="5"/>
        <v>1.25</v>
      </c>
    </row>
    <row r="11" spans="3:10" ht="12.75">
      <c r="C11" s="1">
        <v>4</v>
      </c>
      <c r="D11" s="1">
        <f t="shared" si="1"/>
        <v>0.3333333333333333</v>
      </c>
      <c r="E11" s="1">
        <f t="shared" si="2"/>
        <v>1.2599210498948732</v>
      </c>
      <c r="F11" s="1">
        <f t="shared" si="3"/>
        <v>1.3333333333333333</v>
      </c>
      <c r="G11" s="1">
        <f t="shared" si="4"/>
        <v>1.2599210498948732</v>
      </c>
      <c r="H11" s="1">
        <f t="shared" si="0"/>
        <v>1.2599210498948732</v>
      </c>
      <c r="I11" s="1">
        <f t="shared" si="0"/>
        <v>1.2599210498948732</v>
      </c>
      <c r="J11" s="1">
        <f t="shared" si="5"/>
        <v>1.3333333333333333</v>
      </c>
    </row>
    <row r="12" spans="3:10" ht="12.75">
      <c r="C12" s="1">
        <v>5</v>
      </c>
      <c r="D12" s="1">
        <f t="shared" si="1"/>
        <v>0.4166666666666667</v>
      </c>
      <c r="E12" s="1">
        <f t="shared" si="2"/>
        <v>1.3348398541700344</v>
      </c>
      <c r="F12" s="1">
        <f t="shared" si="3"/>
        <v>1.4166666666666667</v>
      </c>
      <c r="G12" s="1">
        <f t="shared" si="4"/>
        <v>1.3348398541700344</v>
      </c>
      <c r="H12" s="1">
        <f t="shared" si="0"/>
        <v>1.3348398541700344</v>
      </c>
      <c r="I12" s="1">
        <f t="shared" si="0"/>
        <v>1.3348398541700344</v>
      </c>
      <c r="J12" s="1">
        <f t="shared" si="5"/>
        <v>1.4166666666666667</v>
      </c>
    </row>
    <row r="13" spans="3:10" ht="12.75">
      <c r="C13" s="1">
        <v>6</v>
      </c>
      <c r="D13" s="1">
        <f t="shared" si="1"/>
        <v>0.5</v>
      </c>
      <c r="E13" s="1">
        <f t="shared" si="2"/>
        <v>1.414213562373095</v>
      </c>
      <c r="F13" s="1">
        <f t="shared" si="3"/>
        <v>1.5</v>
      </c>
      <c r="G13" s="1">
        <f t="shared" si="4"/>
        <v>1.4142135623730951</v>
      </c>
      <c r="H13" s="1">
        <f t="shared" si="0"/>
        <v>1.414213562373095</v>
      </c>
      <c r="I13" s="1">
        <f t="shared" si="0"/>
        <v>1.414213562373095</v>
      </c>
      <c r="J13" s="1">
        <f t="shared" si="5"/>
        <v>1.5</v>
      </c>
    </row>
    <row r="14" spans="3:10" ht="12.75">
      <c r="C14" s="1">
        <v>7</v>
      </c>
      <c r="D14" s="1">
        <f t="shared" si="1"/>
        <v>0.5833333333333334</v>
      </c>
      <c r="E14" s="1">
        <f t="shared" si="2"/>
        <v>1.4983070768766815</v>
      </c>
      <c r="F14" s="1">
        <f t="shared" si="3"/>
        <v>1.5833333333333335</v>
      </c>
      <c r="G14" s="1">
        <f t="shared" si="4"/>
        <v>1.4983070768766815</v>
      </c>
      <c r="H14" s="1">
        <f t="shared" si="0"/>
        <v>1.4983070768766813</v>
      </c>
      <c r="I14" s="1">
        <f t="shared" si="0"/>
        <v>1.4983070768766813</v>
      </c>
      <c r="J14" s="1">
        <f t="shared" si="5"/>
        <v>1.5833333333333335</v>
      </c>
    </row>
    <row r="15" spans="3:10" ht="12.75">
      <c r="C15" s="1">
        <v>8</v>
      </c>
      <c r="D15" s="1">
        <f t="shared" si="1"/>
        <v>0.6666666666666666</v>
      </c>
      <c r="E15" s="1">
        <f t="shared" si="2"/>
        <v>1.5874010519681994</v>
      </c>
      <c r="F15" s="1">
        <f t="shared" si="3"/>
        <v>1.6666666666666665</v>
      </c>
      <c r="G15" s="1">
        <f t="shared" si="4"/>
        <v>1.5874010519681994</v>
      </c>
      <c r="H15" s="1">
        <f t="shared" si="0"/>
        <v>1.5874010519681994</v>
      </c>
      <c r="I15" s="1">
        <f t="shared" si="0"/>
        <v>1.5874010519681994</v>
      </c>
      <c r="J15" s="1">
        <f t="shared" si="5"/>
        <v>1.6666666666666665</v>
      </c>
    </row>
    <row r="16" spans="3:10" ht="12.75">
      <c r="C16" s="1">
        <v>9</v>
      </c>
      <c r="D16" s="1">
        <f t="shared" si="1"/>
        <v>0.75</v>
      </c>
      <c r="E16" s="1">
        <f t="shared" si="2"/>
        <v>1.681792830507429</v>
      </c>
      <c r="F16" s="1">
        <f t="shared" si="3"/>
        <v>1.75</v>
      </c>
      <c r="G16" s="1">
        <f t="shared" si="4"/>
        <v>1.681792830507429</v>
      </c>
      <c r="H16" s="1">
        <f t="shared" si="0"/>
        <v>1.6817928305074288</v>
      </c>
      <c r="I16" s="1">
        <f t="shared" si="0"/>
        <v>1.6817928305074288</v>
      </c>
      <c r="J16" s="1">
        <f t="shared" si="5"/>
        <v>1.75</v>
      </c>
    </row>
    <row r="17" spans="3:10" ht="12.75">
      <c r="C17" s="1">
        <v>10</v>
      </c>
      <c r="D17" s="1">
        <f t="shared" si="1"/>
        <v>0.8333333333333334</v>
      </c>
      <c r="E17" s="1">
        <f t="shared" si="2"/>
        <v>1.7817974362806785</v>
      </c>
      <c r="F17" s="1">
        <f t="shared" si="3"/>
        <v>1.8333333333333335</v>
      </c>
      <c r="G17" s="1">
        <f t="shared" si="4"/>
        <v>1.7817974362806785</v>
      </c>
      <c r="H17" s="1">
        <f t="shared" si="0"/>
        <v>1.7817974362806783</v>
      </c>
      <c r="I17" s="1">
        <f t="shared" si="0"/>
        <v>1.7817974362806783</v>
      </c>
      <c r="J17" s="1">
        <f t="shared" si="5"/>
        <v>1.8333333333333335</v>
      </c>
    </row>
    <row r="18" spans="3:10" ht="12.75">
      <c r="C18" s="1">
        <v>11</v>
      </c>
      <c r="D18" s="1">
        <f t="shared" si="1"/>
        <v>0.9166666666666666</v>
      </c>
      <c r="E18" s="1">
        <f t="shared" si="2"/>
        <v>1.8877486253633868</v>
      </c>
      <c r="F18" s="1">
        <f t="shared" si="3"/>
        <v>1.9166666666666665</v>
      </c>
      <c r="G18" s="1">
        <f t="shared" si="4"/>
        <v>1.8877486253633868</v>
      </c>
      <c r="H18" s="1">
        <f t="shared" si="0"/>
        <v>1.8877486253633866</v>
      </c>
      <c r="I18" s="1">
        <f t="shared" si="0"/>
        <v>1.8877486253633866</v>
      </c>
      <c r="J18" s="1">
        <f t="shared" si="5"/>
        <v>1.9166666666666665</v>
      </c>
    </row>
    <row r="19" spans="3:10" ht="12.75">
      <c r="C19" s="1">
        <v>12</v>
      </c>
      <c r="D19" s="1">
        <f t="shared" si="1"/>
        <v>1</v>
      </c>
      <c r="E19" s="1">
        <f t="shared" si="2"/>
        <v>2</v>
      </c>
      <c r="F19" s="1">
        <f t="shared" si="3"/>
        <v>2</v>
      </c>
      <c r="G19" s="1">
        <f t="shared" si="4"/>
        <v>2</v>
      </c>
      <c r="H19" s="1">
        <f t="shared" si="0"/>
        <v>1.9999999999999996</v>
      </c>
      <c r="I19" s="1">
        <f t="shared" si="0"/>
        <v>1.9999999999999996</v>
      </c>
      <c r="J19" s="1">
        <f t="shared" si="5"/>
        <v>2</v>
      </c>
    </row>
    <row r="20" spans="3:10" ht="12.75">
      <c r="C20" s="1">
        <v>13</v>
      </c>
      <c r="D20" s="1">
        <f t="shared" si="1"/>
        <v>1.0833333333333333</v>
      </c>
      <c r="E20" s="1">
        <f t="shared" si="2"/>
        <v>2.11892618871859</v>
      </c>
      <c r="F20" s="1">
        <f t="shared" si="3"/>
        <v>2.083333333333333</v>
      </c>
      <c r="G20" s="1">
        <f t="shared" si="4"/>
        <v>2.11892618871859</v>
      </c>
      <c r="H20" s="1">
        <f t="shared" si="0"/>
        <v>2.11892618871859</v>
      </c>
      <c r="I20" s="1">
        <f t="shared" si="0"/>
        <v>2.11892618871859</v>
      </c>
      <c r="J20" s="1">
        <f t="shared" si="5"/>
        <v>2.1666666666666665</v>
      </c>
    </row>
    <row r="21" spans="3:10" ht="12.75">
      <c r="C21" s="1">
        <v>14</v>
      </c>
      <c r="D21" s="1">
        <f t="shared" si="1"/>
        <v>1.1666666666666667</v>
      </c>
      <c r="E21" s="1">
        <f t="shared" si="2"/>
        <v>2.244924096618746</v>
      </c>
      <c r="F21" s="1">
        <f t="shared" si="3"/>
        <v>2.166666666666667</v>
      </c>
      <c r="G21" s="1">
        <f t="shared" si="4"/>
        <v>2.244924096618746</v>
      </c>
      <c r="H21" s="1">
        <f t="shared" si="0"/>
        <v>2.2449240966187456</v>
      </c>
      <c r="I21" s="1">
        <f t="shared" si="0"/>
        <v>2.2449240966187456</v>
      </c>
      <c r="J21" s="1">
        <f t="shared" si="5"/>
        <v>2.3333333333333335</v>
      </c>
    </row>
    <row r="22" spans="3:10" ht="12.75">
      <c r="C22" s="1">
        <v>15</v>
      </c>
      <c r="D22" s="1">
        <f t="shared" si="1"/>
        <v>1.25</v>
      </c>
      <c r="E22" s="1">
        <f t="shared" si="2"/>
        <v>2.378414230005442</v>
      </c>
      <c r="F22" s="1">
        <f t="shared" si="3"/>
        <v>2.25</v>
      </c>
      <c r="G22" s="1">
        <f t="shared" si="4"/>
        <v>2.378414230005442</v>
      </c>
      <c r="H22" s="1">
        <f t="shared" si="0"/>
        <v>2.378414230005442</v>
      </c>
      <c r="I22" s="1">
        <f t="shared" si="0"/>
        <v>2.3784142300054416</v>
      </c>
      <c r="J22" s="1">
        <f t="shared" si="5"/>
        <v>2.5</v>
      </c>
    </row>
    <row r="23" spans="3:10" ht="12.75">
      <c r="C23" s="1">
        <v>16</v>
      </c>
      <c r="D23" s="1">
        <f t="shared" si="1"/>
        <v>1.3333333333333333</v>
      </c>
      <c r="E23" s="1">
        <f t="shared" si="2"/>
        <v>2.519842099789746</v>
      </c>
      <c r="F23" s="1">
        <f t="shared" si="3"/>
        <v>2.333333333333333</v>
      </c>
      <c r="G23" s="1">
        <f t="shared" si="4"/>
        <v>2.519842099789746</v>
      </c>
      <c r="H23" s="1">
        <f t="shared" si="4"/>
        <v>2.519842099789746</v>
      </c>
      <c r="I23" s="1">
        <f t="shared" si="4"/>
        <v>2.519842099789746</v>
      </c>
      <c r="J23" s="1">
        <f t="shared" si="5"/>
        <v>2.6666666666666665</v>
      </c>
    </row>
    <row r="24" spans="3:10" ht="12.75">
      <c r="C24" s="1">
        <v>17</v>
      </c>
      <c r="D24" s="1">
        <f t="shared" si="1"/>
        <v>1.4166666666666667</v>
      </c>
      <c r="E24" s="1">
        <f t="shared" si="2"/>
        <v>2.6696797083400687</v>
      </c>
      <c r="F24" s="1">
        <f t="shared" si="3"/>
        <v>2.416666666666667</v>
      </c>
      <c r="G24" s="1">
        <f t="shared" si="4"/>
        <v>2.6696797083400687</v>
      </c>
      <c r="H24" s="1">
        <f t="shared" si="4"/>
        <v>2.6696797083400683</v>
      </c>
      <c r="I24" s="1">
        <f t="shared" si="4"/>
        <v>2.6696797083400683</v>
      </c>
      <c r="J24" s="1">
        <f t="shared" si="5"/>
        <v>2.8333333333333335</v>
      </c>
    </row>
    <row r="25" spans="3:10" ht="12.75">
      <c r="C25" s="1">
        <v>18</v>
      </c>
      <c r="D25" s="1">
        <f t="shared" si="1"/>
        <v>1.5</v>
      </c>
      <c r="E25" s="1">
        <f t="shared" si="2"/>
        <v>2.82842712474619</v>
      </c>
      <c r="F25" s="1">
        <f t="shared" si="3"/>
        <v>2.5</v>
      </c>
      <c r="G25" s="1">
        <f t="shared" si="4"/>
        <v>2.82842712474619</v>
      </c>
      <c r="H25" s="1">
        <f t="shared" si="4"/>
        <v>2.8284271247461894</v>
      </c>
      <c r="I25" s="1">
        <f t="shared" si="4"/>
        <v>2.8284271247461894</v>
      </c>
      <c r="J25" s="1">
        <f t="shared" si="5"/>
        <v>3</v>
      </c>
    </row>
    <row r="26" spans="3:10" ht="12.75">
      <c r="C26" s="1">
        <v>19</v>
      </c>
      <c r="D26" s="1">
        <f t="shared" si="1"/>
        <v>1.5833333333333333</v>
      </c>
      <c r="E26" s="1">
        <f t="shared" si="2"/>
        <v>2.9966141537533626</v>
      </c>
      <c r="F26" s="1">
        <f t="shared" si="3"/>
        <v>2.583333333333333</v>
      </c>
      <c r="G26" s="1">
        <f t="shared" si="4"/>
        <v>2.9966141537533626</v>
      </c>
      <c r="H26" s="1">
        <f t="shared" si="4"/>
        <v>2.9966141537533626</v>
      </c>
      <c r="I26" s="1">
        <f t="shared" si="4"/>
        <v>2.9966141537533626</v>
      </c>
      <c r="J26" s="1">
        <f t="shared" si="5"/>
        <v>3.1666666666666665</v>
      </c>
    </row>
    <row r="27" spans="3:10" ht="12.75">
      <c r="C27" s="1">
        <v>20</v>
      </c>
      <c r="D27" s="1">
        <f t="shared" si="1"/>
        <v>1.6666666666666667</v>
      </c>
      <c r="E27" s="1">
        <f t="shared" si="2"/>
        <v>3.1748021039363987</v>
      </c>
      <c r="F27" s="1">
        <f t="shared" si="3"/>
        <v>2.666666666666667</v>
      </c>
      <c r="G27" s="1">
        <f t="shared" si="4"/>
        <v>3.1748021039363987</v>
      </c>
      <c r="H27" s="1">
        <f t="shared" si="4"/>
        <v>3.1748021039363983</v>
      </c>
      <c r="I27" s="1">
        <f t="shared" si="4"/>
        <v>3.1748021039363983</v>
      </c>
      <c r="J27" s="1">
        <f t="shared" si="5"/>
        <v>3.3333333333333335</v>
      </c>
    </row>
    <row r="28" spans="3:10" ht="12.75">
      <c r="C28" s="1">
        <v>21</v>
      </c>
      <c r="D28" s="1">
        <f t="shared" si="1"/>
        <v>1.75</v>
      </c>
      <c r="E28" s="1">
        <f t="shared" si="2"/>
        <v>3.363585661014858</v>
      </c>
      <c r="F28" s="1">
        <f t="shared" si="3"/>
        <v>2.75</v>
      </c>
      <c r="G28" s="1">
        <f t="shared" si="4"/>
        <v>3.363585661014858</v>
      </c>
      <c r="H28" s="1">
        <f t="shared" si="4"/>
        <v>3.363585661014857</v>
      </c>
      <c r="I28" s="1">
        <f t="shared" si="4"/>
        <v>3.3635856610148567</v>
      </c>
      <c r="J28" s="1">
        <f t="shared" si="5"/>
        <v>3.5</v>
      </c>
    </row>
    <row r="29" spans="3:10" ht="12.75">
      <c r="C29" s="1">
        <v>22</v>
      </c>
      <c r="D29" s="1">
        <f t="shared" si="1"/>
        <v>1.8333333333333333</v>
      </c>
      <c r="E29" s="1">
        <f t="shared" si="2"/>
        <v>3.5635948725613567</v>
      </c>
      <c r="F29" s="1">
        <f t="shared" si="3"/>
        <v>2.833333333333333</v>
      </c>
      <c r="G29" s="1">
        <f t="shared" si="4"/>
        <v>3.5635948725613567</v>
      </c>
      <c r="H29" s="1">
        <f t="shared" si="4"/>
        <v>3.5635948725613558</v>
      </c>
      <c r="I29" s="1">
        <f t="shared" si="4"/>
        <v>3.5635948725613558</v>
      </c>
      <c r="J29" s="1">
        <f t="shared" si="5"/>
        <v>3.6666666666666665</v>
      </c>
    </row>
    <row r="30" spans="3:10" ht="12.75">
      <c r="C30" s="1">
        <v>23</v>
      </c>
      <c r="D30" s="1">
        <f t="shared" si="1"/>
        <v>1.9166666666666667</v>
      </c>
      <c r="E30" s="1">
        <f t="shared" si="2"/>
        <v>3.775497250726774</v>
      </c>
      <c r="F30" s="1">
        <f t="shared" si="3"/>
        <v>2.916666666666667</v>
      </c>
      <c r="G30" s="1">
        <f t="shared" si="4"/>
        <v>3.775497250726774</v>
      </c>
      <c r="H30" s="1">
        <f t="shared" si="4"/>
        <v>3.7754972507267732</v>
      </c>
      <c r="I30" s="1">
        <f t="shared" si="4"/>
        <v>3.7754972507267732</v>
      </c>
      <c r="J30" s="1">
        <f t="shared" si="5"/>
        <v>3.8333333333333335</v>
      </c>
    </row>
    <row r="31" spans="3:10" ht="12.75">
      <c r="C31" s="1">
        <v>24</v>
      </c>
      <c r="D31" s="1">
        <f t="shared" si="1"/>
        <v>2</v>
      </c>
      <c r="E31" s="1">
        <f t="shared" si="2"/>
        <v>4</v>
      </c>
      <c r="F31" s="1">
        <f t="shared" si="3"/>
        <v>3</v>
      </c>
      <c r="G31" s="1">
        <f t="shared" si="4"/>
        <v>4</v>
      </c>
      <c r="H31" s="1">
        <f t="shared" si="4"/>
        <v>3.9999999999999982</v>
      </c>
      <c r="I31" s="1">
        <f t="shared" si="4"/>
        <v>3.9999999999999982</v>
      </c>
      <c r="J31" s="1">
        <f t="shared" si="5"/>
        <v>4</v>
      </c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A1:U125"/>
  <sheetViews>
    <sheetView workbookViewId="0" topLeftCell="M7">
      <selection activeCell="S34" sqref="S34"/>
    </sheetView>
  </sheetViews>
  <sheetFormatPr defaultColWidth="11.421875" defaultRowHeight="12.75"/>
  <cols>
    <col min="1" max="2" width="11.421875" style="75" customWidth="1"/>
    <col min="7" max="7" width="11.421875" style="79" customWidth="1"/>
    <col min="8" max="8" width="11.421875" style="75" customWidth="1"/>
    <col min="13" max="13" width="11.421875" style="75" customWidth="1"/>
    <col min="14" max="15" width="14.421875" style="0" bestFit="1" customWidth="1"/>
    <col min="16" max="16" width="13.00390625" style="0" bestFit="1" customWidth="1"/>
    <col min="17" max="17" width="15.7109375" style="0" bestFit="1" customWidth="1"/>
    <col min="18" max="20" width="15.7109375" style="0" customWidth="1"/>
    <col min="21" max="21" width="14.421875" style="0" bestFit="1" customWidth="1"/>
  </cols>
  <sheetData>
    <row r="1" spans="1:21" ht="12.75">
      <c r="A1" s="77" t="s">
        <v>220</v>
      </c>
      <c r="B1" s="88" t="s">
        <v>214</v>
      </c>
      <c r="C1" s="86" t="s">
        <v>218</v>
      </c>
      <c r="D1" s="87"/>
      <c r="E1" s="87"/>
      <c r="F1" s="87"/>
      <c r="G1" s="87"/>
      <c r="H1" s="88"/>
      <c r="I1" s="86" t="s">
        <v>219</v>
      </c>
      <c r="J1" s="87"/>
      <c r="K1" s="87"/>
      <c r="L1" s="87"/>
      <c r="M1" s="87"/>
      <c r="N1" s="86" t="s">
        <v>62</v>
      </c>
      <c r="O1" s="87"/>
      <c r="P1" s="87"/>
      <c r="Q1" s="87"/>
      <c r="R1" s="87"/>
      <c r="S1" s="87"/>
      <c r="T1" s="87"/>
      <c r="U1" s="88"/>
    </row>
    <row r="2" spans="1:21" ht="12.75">
      <c r="A2" s="77" t="s">
        <v>221</v>
      </c>
      <c r="B2" s="62" t="s">
        <v>217</v>
      </c>
      <c r="C2" s="117" t="s">
        <v>215</v>
      </c>
      <c r="D2" s="81" t="s">
        <v>216</v>
      </c>
      <c r="E2" s="112"/>
      <c r="F2" s="82"/>
      <c r="G2" s="13"/>
      <c r="H2" s="62"/>
      <c r="I2" s="61"/>
      <c r="J2" s="13"/>
      <c r="K2" s="13"/>
      <c r="L2" s="13"/>
      <c r="M2" s="13"/>
      <c r="N2" s="61"/>
      <c r="O2" s="13"/>
      <c r="P2" s="13"/>
      <c r="Q2" s="13"/>
      <c r="R2" s="13"/>
      <c r="S2" s="13"/>
      <c r="T2" s="13"/>
      <c r="U2" s="62"/>
    </row>
    <row r="3" spans="2:21" ht="12.75">
      <c r="B3" s="76">
        <f>1/12</f>
        <v>0.08333333333333333</v>
      </c>
      <c r="C3" s="85">
        <v>0.1</v>
      </c>
      <c r="D3" s="89">
        <v>4</v>
      </c>
      <c r="E3" s="90">
        <v>1</v>
      </c>
      <c r="F3" s="91">
        <v>1</v>
      </c>
      <c r="G3" s="70"/>
      <c r="H3" s="71"/>
      <c r="I3" s="61"/>
      <c r="J3" s="13"/>
      <c r="K3" s="13"/>
      <c r="L3" s="13"/>
      <c r="M3" s="13"/>
      <c r="N3" s="61"/>
      <c r="O3" s="13"/>
      <c r="P3" s="13"/>
      <c r="Q3" s="13"/>
      <c r="R3" s="13"/>
      <c r="S3" s="13"/>
      <c r="T3" s="13"/>
      <c r="U3" s="62"/>
    </row>
    <row r="4" spans="1:21" ht="12.75">
      <c r="A4" s="62" t="s">
        <v>32</v>
      </c>
      <c r="B4" s="65" t="s">
        <v>104</v>
      </c>
      <c r="C4" s="72" t="s">
        <v>48</v>
      </c>
      <c r="D4" s="78" t="str">
        <f>"diskret "&amp;LEFT(D3,4)</f>
        <v>diskret 4</v>
      </c>
      <c r="E4" s="78" t="str">
        <f>"diskret "&amp;LEFT(E3,4)</f>
        <v>diskret 1</v>
      </c>
      <c r="F4" s="73" t="str">
        <f>"GKM "&amp;F3</f>
        <v>GKM 1</v>
      </c>
      <c r="G4" s="73" t="s">
        <v>50</v>
      </c>
      <c r="H4" s="74" t="s">
        <v>209</v>
      </c>
      <c r="I4" s="72" t="str">
        <f>C4</f>
        <v>stetig</v>
      </c>
      <c r="J4" s="73" t="str">
        <f>D4</f>
        <v>diskret 4</v>
      </c>
      <c r="K4" s="73" t="str">
        <f>E4</f>
        <v>diskret 1</v>
      </c>
      <c r="L4" s="73" t="str">
        <f>F4</f>
        <v>GKM 1</v>
      </c>
      <c r="M4" s="73" t="str">
        <f>G4</f>
        <v>einfach</v>
      </c>
      <c r="N4" s="63" t="str">
        <f>C4&amp;" - "&amp;D4</f>
        <v>stetig - diskret 4</v>
      </c>
      <c r="O4" s="64" t="str">
        <f>C4&amp;" - "&amp;E4</f>
        <v>stetig - diskret 1</v>
      </c>
      <c r="P4" s="64" t="str">
        <f>C4&amp;" - "&amp;F4</f>
        <v>stetig - GKM 1</v>
      </c>
      <c r="Q4" s="64" t="str">
        <f>F4&amp;" - "&amp;E4</f>
        <v>GKM 1 - diskret 1</v>
      </c>
      <c r="R4" s="64" t="str">
        <f>D4&amp;" - "&amp;F4</f>
        <v>diskret 4 - GKM 1</v>
      </c>
      <c r="S4" s="64" t="str">
        <f>D4&amp;" - "&amp;E4</f>
        <v>diskret 4 - diskret 1</v>
      </c>
      <c r="T4" s="64" t="str">
        <f>F4&amp;" - "&amp;G4</f>
        <v>GKM 1 - einfach</v>
      </c>
      <c r="U4" s="65" t="str">
        <f>C4&amp;" - "&amp;G4</f>
        <v>stetig - einfach</v>
      </c>
    </row>
    <row r="5" spans="1:21" ht="12.75">
      <c r="A5" s="75">
        <v>0</v>
      </c>
      <c r="B5" s="75">
        <f>A5*$B$3</f>
        <v>0</v>
      </c>
      <c r="C5">
        <f aca="true" t="shared" si="0" ref="C5:C69">EXP(-$C$3*B5)</f>
        <v>1</v>
      </c>
      <c r="D5" s="45">
        <f aca="true" t="shared" si="1" ref="D5:D69">1/((1+$C$3/D$3)^($B5*D$3))</f>
        <v>1</v>
      </c>
      <c r="E5" s="45">
        <f>1/((1+$C$3/E$3)^($B5*E$3))</f>
        <v>1</v>
      </c>
      <c r="F5" s="45">
        <f>(1/((1+$C$3/$F$3)^(INT(B5*$F$3))))*(1/(1+$C$3*(B5-INT(B5*$F$3)/$F$3)))</f>
        <v>1</v>
      </c>
      <c r="G5" s="80">
        <f>1/(1+$C$3*B5)</f>
        <v>1</v>
      </c>
      <c r="H5" s="75">
        <f>1-$C$3*$B5</f>
        <v>1</v>
      </c>
      <c r="I5">
        <f aca="true" t="shared" si="2" ref="I5:I69">1/C5</f>
        <v>1</v>
      </c>
      <c r="J5">
        <f>1/D5</f>
        <v>1</v>
      </c>
      <c r="K5">
        <f>1/E5</f>
        <v>1</v>
      </c>
      <c r="L5">
        <f>1/F5</f>
        <v>1</v>
      </c>
      <c r="M5" s="75">
        <f>1/G5</f>
        <v>1</v>
      </c>
      <c r="N5">
        <f>C5-D5</f>
        <v>0</v>
      </c>
      <c r="O5">
        <f>C5-E5</f>
        <v>0</v>
      </c>
      <c r="P5">
        <f>C5-F5</f>
        <v>0</v>
      </c>
      <c r="Q5" s="80">
        <f>F5-E5</f>
        <v>0</v>
      </c>
      <c r="R5" s="80">
        <f>D5-F5</f>
        <v>0</v>
      </c>
      <c r="S5" s="80">
        <f>D5-E5</f>
        <v>0</v>
      </c>
      <c r="T5" s="80">
        <f>F5-G5</f>
        <v>0</v>
      </c>
      <c r="U5" s="80">
        <f>C5-G5</f>
        <v>0</v>
      </c>
    </row>
    <row r="6" spans="1:21" ht="12.75">
      <c r="A6" s="75">
        <v>1</v>
      </c>
      <c r="B6" s="75">
        <f aca="true" t="shared" si="3" ref="B6:B69">A6*$B$3</f>
        <v>0.08333333333333333</v>
      </c>
      <c r="C6">
        <f t="shared" si="0"/>
        <v>0.991701292638876</v>
      </c>
      <c r="D6">
        <f t="shared" si="1"/>
        <v>0.9918029100085936</v>
      </c>
      <c r="E6">
        <f aca="true" t="shared" si="4" ref="E6:E69">1/((1+$C$3/E$3)^($B6*E$3))</f>
        <v>0.992088943446991</v>
      </c>
      <c r="F6" s="45">
        <f aca="true" t="shared" si="5" ref="F6:F69">(1/((1+$C$3/$F$3)^(INT(B6*$F$3))))*(1/(1+$C$3*(B6-INT(B6*$F$3)/$F$3)))</f>
        <v>0.9917355371900827</v>
      </c>
      <c r="G6" s="79">
        <f aca="true" t="shared" si="6" ref="G6:G69">1/(1+$C$3*B6)</f>
        <v>0.9917355371900827</v>
      </c>
      <c r="H6" s="75">
        <f aca="true" t="shared" si="7" ref="H6:H69">1-$C$3*$B6</f>
        <v>0.9916666666666667</v>
      </c>
      <c r="I6">
        <f t="shared" si="2"/>
        <v>1.008368152207447</v>
      </c>
      <c r="J6">
        <f aca="true" t="shared" si="8" ref="J6:J69">1/D6</f>
        <v>1.0082648376090522</v>
      </c>
      <c r="K6">
        <f aca="true" t="shared" si="9" ref="K6:K69">1/E6</f>
        <v>1.0079741404289038</v>
      </c>
      <c r="L6">
        <f aca="true" t="shared" si="10" ref="L6:L69">1/F6</f>
        <v>1.0083333333333333</v>
      </c>
      <c r="M6" s="75">
        <f aca="true" t="shared" si="11" ref="M6:M69">1/G6</f>
        <v>1.0083333333333333</v>
      </c>
      <c r="N6">
        <f aca="true" t="shared" si="12" ref="N6:N69">C6-D6</f>
        <v>-0.00010161736971758817</v>
      </c>
      <c r="O6">
        <f aca="true" t="shared" si="13" ref="O6:O69">C6-E6</f>
        <v>-0.000387650808114981</v>
      </c>
      <c r="P6">
        <f aca="true" t="shared" si="14" ref="P6:P69">C6-F6</f>
        <v>-3.4244551206707996E-05</v>
      </c>
      <c r="Q6" s="80">
        <f aca="true" t="shared" si="15" ref="Q6:Q69">F6-E6</f>
        <v>-0.000353406256908273</v>
      </c>
      <c r="R6" s="80">
        <f aca="true" t="shared" si="16" ref="R6:R69">D6-F6</f>
        <v>6.737281851088017E-05</v>
      </c>
      <c r="S6" s="80">
        <f aca="true" t="shared" si="17" ref="S6:S69">D6-E6</f>
        <v>-0.0002860334383973928</v>
      </c>
      <c r="T6" s="80">
        <f aca="true" t="shared" si="18" ref="T6:T69">F6-G6</f>
        <v>0</v>
      </c>
      <c r="U6" s="80">
        <f aca="true" t="shared" si="19" ref="U6:U69">C6-G6</f>
        <v>-3.4244551206707996E-05</v>
      </c>
    </row>
    <row r="7" spans="1:21" ht="12.75">
      <c r="A7" s="75">
        <v>2</v>
      </c>
      <c r="B7" s="75">
        <f t="shared" si="3"/>
        <v>0.16666666666666666</v>
      </c>
      <c r="C7">
        <f t="shared" si="0"/>
        <v>0.9834714538216175</v>
      </c>
      <c r="D7">
        <f t="shared" si="1"/>
        <v>0.9836730123015144</v>
      </c>
      <c r="E7">
        <f t="shared" si="4"/>
        <v>0.9842404717097668</v>
      </c>
      <c r="F7" s="45">
        <f t="shared" si="5"/>
        <v>0.9836065573770493</v>
      </c>
      <c r="G7" s="79">
        <f t="shared" si="6"/>
        <v>0.9836065573770493</v>
      </c>
      <c r="H7" s="75">
        <f t="shared" si="7"/>
        <v>0.9833333333333333</v>
      </c>
      <c r="I7">
        <f t="shared" si="2"/>
        <v>1.016806330386261</v>
      </c>
      <c r="J7">
        <f t="shared" si="8"/>
        <v>1.0165979827588083</v>
      </c>
      <c r="K7">
        <f t="shared" si="9"/>
        <v>1.0160118677733874</v>
      </c>
      <c r="L7">
        <f t="shared" si="10"/>
        <v>1.0166666666666666</v>
      </c>
      <c r="M7" s="75">
        <f t="shared" si="11"/>
        <v>1.0166666666666666</v>
      </c>
      <c r="N7">
        <f t="shared" si="12"/>
        <v>-0.00020155847989689057</v>
      </c>
      <c r="O7">
        <f t="shared" si="13"/>
        <v>-0.0007690178881493148</v>
      </c>
      <c r="P7">
        <f t="shared" si="14"/>
        <v>-0.00013510355543178143</v>
      </c>
      <c r="Q7" s="80">
        <f t="shared" si="15"/>
        <v>-0.0006339143327175334</v>
      </c>
      <c r="R7" s="80">
        <f t="shared" si="16"/>
        <v>6.645492446510914E-05</v>
      </c>
      <c r="S7" s="80">
        <f t="shared" si="17"/>
        <v>-0.0005674594082524242</v>
      </c>
      <c r="T7" s="80">
        <f t="shared" si="18"/>
        <v>0</v>
      </c>
      <c r="U7" s="80">
        <f t="shared" si="19"/>
        <v>-0.00013510355543178143</v>
      </c>
    </row>
    <row r="8" spans="1:21" ht="12.75">
      <c r="A8" s="75">
        <v>3</v>
      </c>
      <c r="B8" s="75">
        <f t="shared" si="3"/>
        <v>0.25</v>
      </c>
      <c r="C8">
        <f t="shared" si="0"/>
        <v>0.9753099120283326</v>
      </c>
      <c r="D8">
        <f t="shared" si="1"/>
        <v>0.9756097560975611</v>
      </c>
      <c r="E8">
        <f t="shared" si="4"/>
        <v>0.9764540896763105</v>
      </c>
      <c r="F8" s="45">
        <f t="shared" si="5"/>
        <v>0.9756097560975611</v>
      </c>
      <c r="G8" s="79">
        <f t="shared" si="6"/>
        <v>0.9756097560975611</v>
      </c>
      <c r="H8" s="75">
        <f t="shared" si="7"/>
        <v>0.975</v>
      </c>
      <c r="I8">
        <f t="shared" si="2"/>
        <v>1.0253151205244289</v>
      </c>
      <c r="J8">
        <f t="shared" si="8"/>
        <v>1.025</v>
      </c>
      <c r="K8">
        <f t="shared" si="9"/>
        <v>1.0241136890844451</v>
      </c>
      <c r="L8">
        <f t="shared" si="10"/>
        <v>1.025</v>
      </c>
      <c r="M8" s="75">
        <f t="shared" si="11"/>
        <v>1.025</v>
      </c>
      <c r="N8">
        <f t="shared" si="12"/>
        <v>-0.00029984406922844986</v>
      </c>
      <c r="O8">
        <f t="shared" si="13"/>
        <v>-0.0011441776479779175</v>
      </c>
      <c r="P8">
        <f t="shared" si="14"/>
        <v>-0.00029984406922844986</v>
      </c>
      <c r="Q8" s="80">
        <f t="shared" si="15"/>
        <v>-0.0008443335787494677</v>
      </c>
      <c r="R8" s="80">
        <f t="shared" si="16"/>
        <v>0</v>
      </c>
      <c r="S8" s="80">
        <f t="shared" si="17"/>
        <v>-0.0008443335787494677</v>
      </c>
      <c r="T8" s="80">
        <f t="shared" si="18"/>
        <v>0</v>
      </c>
      <c r="U8" s="80">
        <f t="shared" si="19"/>
        <v>-0.00029984406922844986</v>
      </c>
    </row>
    <row r="9" spans="1:21" ht="12.75">
      <c r="A9" s="75">
        <v>4</v>
      </c>
      <c r="B9" s="75">
        <f t="shared" si="3"/>
        <v>0.3333333333333333</v>
      </c>
      <c r="C9">
        <f t="shared" si="0"/>
        <v>0.9672161004820059</v>
      </c>
      <c r="D9">
        <f t="shared" si="1"/>
        <v>0.9676125951303354</v>
      </c>
      <c r="E9">
        <f t="shared" si="4"/>
        <v>0.9687293061514642</v>
      </c>
      <c r="F9" s="45">
        <f t="shared" si="5"/>
        <v>0.9677419354838709</v>
      </c>
      <c r="G9" s="79">
        <f t="shared" si="6"/>
        <v>0.9677419354838709</v>
      </c>
      <c r="H9" s="75">
        <f t="shared" si="7"/>
        <v>0.9666666666666667</v>
      </c>
      <c r="I9">
        <f t="shared" si="2"/>
        <v>1.033895113513574</v>
      </c>
      <c r="J9">
        <f t="shared" si="8"/>
        <v>1.0334714585492784</v>
      </c>
      <c r="K9">
        <f t="shared" si="9"/>
        <v>1.0322801154563672</v>
      </c>
      <c r="L9">
        <f t="shared" si="10"/>
        <v>1.0333333333333334</v>
      </c>
      <c r="M9" s="75">
        <f t="shared" si="11"/>
        <v>1.0333333333333334</v>
      </c>
      <c r="N9">
        <f t="shared" si="12"/>
        <v>-0.0003964946483294707</v>
      </c>
      <c r="O9">
        <f t="shared" si="13"/>
        <v>-0.0015132056694583396</v>
      </c>
      <c r="P9">
        <f t="shared" si="14"/>
        <v>-0.0005258350018649827</v>
      </c>
      <c r="Q9" s="80">
        <f t="shared" si="15"/>
        <v>-0.000987370667593357</v>
      </c>
      <c r="R9" s="80">
        <f t="shared" si="16"/>
        <v>-0.000129340353535512</v>
      </c>
      <c r="S9" s="80">
        <f t="shared" si="17"/>
        <v>-0.0011167110211288689</v>
      </c>
      <c r="T9" s="80">
        <f t="shared" si="18"/>
        <v>0</v>
      </c>
      <c r="U9" s="80">
        <f t="shared" si="19"/>
        <v>-0.0005258350018649827</v>
      </c>
    </row>
    <row r="10" spans="1:21" ht="12.75">
      <c r="A10" s="75">
        <v>5</v>
      </c>
      <c r="B10" s="75">
        <f t="shared" si="3"/>
        <v>0.41666666666666663</v>
      </c>
      <c r="C10">
        <f t="shared" si="0"/>
        <v>0.9591894571091382</v>
      </c>
      <c r="D10">
        <f t="shared" si="1"/>
        <v>0.9596809876112337</v>
      </c>
      <c r="E10">
        <f t="shared" si="4"/>
        <v>0.9610656338259429</v>
      </c>
      <c r="F10" s="45">
        <f t="shared" si="5"/>
        <v>0.96</v>
      </c>
      <c r="G10" s="79">
        <f t="shared" si="6"/>
        <v>0.96</v>
      </c>
      <c r="H10" s="75">
        <f t="shared" si="7"/>
        <v>0.9583333333333334</v>
      </c>
      <c r="I10">
        <f t="shared" si="2"/>
        <v>1.0425469051899914</v>
      </c>
      <c r="J10">
        <f t="shared" si="8"/>
        <v>1.0420129323277785</v>
      </c>
      <c r="K10">
        <f t="shared" si="9"/>
        <v>1.0405116620589812</v>
      </c>
      <c r="L10">
        <f t="shared" si="10"/>
        <v>1.0416666666666667</v>
      </c>
      <c r="M10" s="75">
        <f t="shared" si="11"/>
        <v>1.0416666666666667</v>
      </c>
      <c r="N10">
        <f t="shared" si="12"/>
        <v>-0.0004915305020954941</v>
      </c>
      <c r="O10">
        <f t="shared" si="13"/>
        <v>-0.0018761767168047339</v>
      </c>
      <c r="P10">
        <f t="shared" si="14"/>
        <v>-0.0008105428908617984</v>
      </c>
      <c r="Q10" s="80">
        <f t="shared" si="15"/>
        <v>-0.0010656338259429354</v>
      </c>
      <c r="R10" s="80">
        <f t="shared" si="16"/>
        <v>-0.00031901238876630433</v>
      </c>
      <c r="S10" s="80">
        <f t="shared" si="17"/>
        <v>-0.0013846462147092398</v>
      </c>
      <c r="T10" s="80">
        <f t="shared" si="18"/>
        <v>0</v>
      </c>
      <c r="U10" s="80">
        <f t="shared" si="19"/>
        <v>-0.0008105428908617984</v>
      </c>
    </row>
    <row r="11" spans="1:21" ht="12.75">
      <c r="A11" s="75">
        <v>6</v>
      </c>
      <c r="B11" s="75">
        <f t="shared" si="3"/>
        <v>0.5</v>
      </c>
      <c r="C11">
        <f t="shared" si="0"/>
        <v>0.951229424500714</v>
      </c>
      <c r="D11">
        <f t="shared" si="1"/>
        <v>0.9518143961927424</v>
      </c>
      <c r="E11">
        <f t="shared" si="4"/>
        <v>0.9534625892455922</v>
      </c>
      <c r="F11" s="45">
        <f t="shared" si="5"/>
        <v>0.9523809523809523</v>
      </c>
      <c r="G11" s="79">
        <f t="shared" si="6"/>
        <v>0.9523809523809523</v>
      </c>
      <c r="H11" s="75">
        <f t="shared" si="7"/>
        <v>0.95</v>
      </c>
      <c r="I11">
        <f t="shared" si="2"/>
        <v>1.0512710963760241</v>
      </c>
      <c r="J11">
        <f t="shared" si="8"/>
        <v>1.050625</v>
      </c>
      <c r="K11">
        <f t="shared" si="9"/>
        <v>1.0488088481701516</v>
      </c>
      <c r="L11">
        <f t="shared" si="10"/>
        <v>1.05</v>
      </c>
      <c r="M11" s="75">
        <f t="shared" si="11"/>
        <v>1.05</v>
      </c>
      <c r="N11">
        <f t="shared" si="12"/>
        <v>-0.0005849716920284243</v>
      </c>
      <c r="O11">
        <f t="shared" si="13"/>
        <v>-0.0022331647448782244</v>
      </c>
      <c r="P11">
        <f t="shared" si="14"/>
        <v>-0.0011515278802383122</v>
      </c>
      <c r="Q11" s="80">
        <f t="shared" si="15"/>
        <v>-0.0010816368646399122</v>
      </c>
      <c r="R11" s="80">
        <f t="shared" si="16"/>
        <v>-0.000566556188209888</v>
      </c>
      <c r="S11" s="80">
        <f t="shared" si="17"/>
        <v>-0.0016481930528498001</v>
      </c>
      <c r="T11" s="80">
        <f t="shared" si="18"/>
        <v>0</v>
      </c>
      <c r="U11" s="80">
        <f t="shared" si="19"/>
        <v>-0.0011515278802383122</v>
      </c>
    </row>
    <row r="12" spans="1:21" ht="12.75">
      <c r="A12" s="75">
        <v>7</v>
      </c>
      <c r="B12" s="75">
        <f t="shared" si="3"/>
        <v>0.5833333333333333</v>
      </c>
      <c r="C12">
        <f t="shared" si="0"/>
        <v>0.9433354498734922</v>
      </c>
      <c r="D12">
        <f t="shared" si="1"/>
        <v>0.9440122879320345</v>
      </c>
      <c r="E12">
        <f t="shared" si="4"/>
        <v>0.945919692780892</v>
      </c>
      <c r="F12" s="45">
        <f t="shared" si="5"/>
        <v>0.9448818897637795</v>
      </c>
      <c r="G12" s="79">
        <f t="shared" si="6"/>
        <v>0.9448818897637795</v>
      </c>
      <c r="H12" s="75">
        <f t="shared" si="7"/>
        <v>0.9416666666666667</v>
      </c>
      <c r="I12">
        <f t="shared" si="2"/>
        <v>1.0600682929217882</v>
      </c>
      <c r="J12">
        <f t="shared" si="8"/>
        <v>1.0593082450130102</v>
      </c>
      <c r="K12">
        <f t="shared" si="9"/>
        <v>1.057172197208537</v>
      </c>
      <c r="L12">
        <f t="shared" si="10"/>
        <v>1.0583333333333333</v>
      </c>
      <c r="M12" s="75">
        <f t="shared" si="11"/>
        <v>1.0583333333333333</v>
      </c>
      <c r="N12">
        <f t="shared" si="12"/>
        <v>-0.0006768380585423506</v>
      </c>
      <c r="O12">
        <f t="shared" si="13"/>
        <v>-0.002584242907399892</v>
      </c>
      <c r="P12">
        <f t="shared" si="14"/>
        <v>-0.0015464398902873544</v>
      </c>
      <c r="Q12" s="80">
        <f t="shared" si="15"/>
        <v>-0.0010378030171125374</v>
      </c>
      <c r="R12" s="80">
        <f t="shared" si="16"/>
        <v>-0.0008696018317450038</v>
      </c>
      <c r="S12" s="80">
        <f t="shared" si="17"/>
        <v>-0.0019074048488575412</v>
      </c>
      <c r="T12" s="80">
        <f t="shared" si="18"/>
        <v>0</v>
      </c>
      <c r="U12" s="80">
        <f t="shared" si="19"/>
        <v>-0.0015464398902873544</v>
      </c>
    </row>
    <row r="13" spans="1:21" ht="12.75">
      <c r="A13" s="75">
        <v>8</v>
      </c>
      <c r="B13" s="75">
        <f t="shared" si="3"/>
        <v>0.6666666666666666</v>
      </c>
      <c r="C13">
        <f t="shared" si="0"/>
        <v>0.9355069850316178</v>
      </c>
      <c r="D13">
        <f t="shared" si="1"/>
        <v>0.9362741342548622</v>
      </c>
      <c r="E13">
        <f t="shared" si="4"/>
        <v>0.9384364685966974</v>
      </c>
      <c r="F13" s="45">
        <f t="shared" si="5"/>
        <v>0.9375</v>
      </c>
      <c r="G13" s="79">
        <f t="shared" si="6"/>
        <v>0.9375</v>
      </c>
      <c r="H13" s="75">
        <f t="shared" si="7"/>
        <v>0.9333333333333333</v>
      </c>
      <c r="I13">
        <f t="shared" si="2"/>
        <v>1.0689391057472462</v>
      </c>
      <c r="J13">
        <f t="shared" si="8"/>
        <v>1.0680632556359728</v>
      </c>
      <c r="K13">
        <f t="shared" si="9"/>
        <v>1.0656022367666107</v>
      </c>
      <c r="L13">
        <f t="shared" si="10"/>
        <v>1.0666666666666667</v>
      </c>
      <c r="M13" s="75">
        <f t="shared" si="11"/>
        <v>1.0666666666666667</v>
      </c>
      <c r="N13">
        <f t="shared" si="12"/>
        <v>-0.0007671492232443899</v>
      </c>
      <c r="O13">
        <f t="shared" si="13"/>
        <v>-0.0029294835650796047</v>
      </c>
      <c r="P13">
        <f t="shared" si="14"/>
        <v>-0.001993014968382223</v>
      </c>
      <c r="Q13" s="80">
        <f t="shared" si="15"/>
        <v>-0.0009364685966973818</v>
      </c>
      <c r="R13" s="80">
        <f t="shared" si="16"/>
        <v>-0.001225865745137833</v>
      </c>
      <c r="S13" s="80">
        <f t="shared" si="17"/>
        <v>-0.0021623343418352148</v>
      </c>
      <c r="T13" s="80">
        <f t="shared" si="18"/>
        <v>0</v>
      </c>
      <c r="U13" s="80">
        <f t="shared" si="19"/>
        <v>-0.001993014968382223</v>
      </c>
    </row>
    <row r="14" spans="1:21" ht="12.75">
      <c r="A14" s="75">
        <v>9</v>
      </c>
      <c r="B14" s="75">
        <f t="shared" si="3"/>
        <v>0.75</v>
      </c>
      <c r="C14">
        <f t="shared" si="0"/>
        <v>0.9277434863285529</v>
      </c>
      <c r="D14">
        <f t="shared" si="1"/>
        <v>0.9285994109197488</v>
      </c>
      <c r="E14">
        <f t="shared" si="4"/>
        <v>0.9310124446222229</v>
      </c>
      <c r="F14" s="45">
        <f t="shared" si="5"/>
        <v>0.9302325581395349</v>
      </c>
      <c r="G14" s="79">
        <f t="shared" si="6"/>
        <v>0.9302325581395349</v>
      </c>
      <c r="H14" s="75">
        <f t="shared" si="7"/>
        <v>0.925</v>
      </c>
      <c r="I14">
        <f t="shared" si="2"/>
        <v>1.0778841508846315</v>
      </c>
      <c r="J14">
        <f t="shared" si="8"/>
        <v>1.0768906249999999</v>
      </c>
      <c r="K14">
        <f t="shared" si="9"/>
        <v>1.0740994986439416</v>
      </c>
      <c r="L14">
        <f t="shared" si="10"/>
        <v>1.075</v>
      </c>
      <c r="M14" s="75">
        <f t="shared" si="11"/>
        <v>1.075</v>
      </c>
      <c r="N14">
        <f t="shared" si="12"/>
        <v>-0.000855924591195989</v>
      </c>
      <c r="O14">
        <f t="shared" si="13"/>
        <v>-0.0032689582936700212</v>
      </c>
      <c r="P14">
        <f t="shared" si="14"/>
        <v>-0.002489071810982013</v>
      </c>
      <c r="Q14" s="80">
        <f t="shared" si="15"/>
        <v>-0.0007798864826880081</v>
      </c>
      <c r="R14" s="80">
        <f t="shared" si="16"/>
        <v>-0.0016331472197860242</v>
      </c>
      <c r="S14" s="80">
        <f t="shared" si="17"/>
        <v>-0.0024130337024740323</v>
      </c>
      <c r="T14" s="80">
        <f t="shared" si="18"/>
        <v>0</v>
      </c>
      <c r="U14" s="80">
        <f t="shared" si="19"/>
        <v>-0.002489071810982013</v>
      </c>
    </row>
    <row r="15" spans="1:21" ht="12.75">
      <c r="A15" s="75">
        <v>10</v>
      </c>
      <c r="B15" s="75">
        <f t="shared" si="3"/>
        <v>0.8333333333333333</v>
      </c>
      <c r="C15">
        <f t="shared" si="0"/>
        <v>0.9200444146293233</v>
      </c>
      <c r="D15">
        <f t="shared" si="1"/>
        <v>0.9209875979824728</v>
      </c>
      <c r="E15">
        <f t="shared" si="4"/>
        <v>0.9236471525212612</v>
      </c>
      <c r="F15" s="45">
        <f t="shared" si="5"/>
        <v>0.9230769230769231</v>
      </c>
      <c r="G15" s="79">
        <f t="shared" si="6"/>
        <v>0.9230769230769231</v>
      </c>
      <c r="H15" s="75">
        <f t="shared" si="7"/>
        <v>0.9166666666666666</v>
      </c>
      <c r="I15">
        <f t="shared" si="2"/>
        <v>1.0869040495212288</v>
      </c>
      <c r="J15">
        <f t="shared" si="8"/>
        <v>1.0857909511383355</v>
      </c>
      <c r="K15">
        <f t="shared" si="9"/>
        <v>1.0826645188807436</v>
      </c>
      <c r="L15">
        <f t="shared" si="10"/>
        <v>1.0833333333333333</v>
      </c>
      <c r="M15" s="75">
        <f t="shared" si="11"/>
        <v>1.0833333333333333</v>
      </c>
      <c r="N15">
        <f t="shared" si="12"/>
        <v>-0.0009431833531494682</v>
      </c>
      <c r="O15">
        <f t="shared" si="13"/>
        <v>-0.0036027378919378794</v>
      </c>
      <c r="P15">
        <f t="shared" si="14"/>
        <v>-0.0030325084475998354</v>
      </c>
      <c r="Q15" s="80">
        <f t="shared" si="15"/>
        <v>-0.000570229444338044</v>
      </c>
      <c r="R15" s="80">
        <f t="shared" si="16"/>
        <v>-0.002089325094450367</v>
      </c>
      <c r="S15" s="80">
        <f t="shared" si="17"/>
        <v>-0.002659554538788411</v>
      </c>
      <c r="T15" s="80">
        <f t="shared" si="18"/>
        <v>0</v>
      </c>
      <c r="U15" s="80">
        <f t="shared" si="19"/>
        <v>-0.0030325084475998354</v>
      </c>
    </row>
    <row r="16" spans="1:21" ht="12.75">
      <c r="A16" s="75">
        <v>11</v>
      </c>
      <c r="B16" s="75">
        <f t="shared" si="3"/>
        <v>0.9166666666666666</v>
      </c>
      <c r="C16">
        <f t="shared" si="0"/>
        <v>0.9124092352730778</v>
      </c>
      <c r="D16">
        <f t="shared" si="1"/>
        <v>0.9134381797608412</v>
      </c>
      <c r="E16" s="58">
        <f t="shared" si="4"/>
        <v>0.9163401276626396</v>
      </c>
      <c r="F16" s="45">
        <f t="shared" si="5"/>
        <v>0.9160305343511449</v>
      </c>
      <c r="G16" s="54">
        <f t="shared" si="6"/>
        <v>0.9160305343511449</v>
      </c>
      <c r="H16" s="75">
        <f t="shared" si="7"/>
        <v>0.9083333333333333</v>
      </c>
      <c r="I16">
        <f t="shared" si="2"/>
        <v>1.095999428042513</v>
      </c>
      <c r="J16">
        <f t="shared" si="8"/>
        <v>1.094764837026872</v>
      </c>
      <c r="K16">
        <f t="shared" si="9"/>
        <v>1.0912978377916902</v>
      </c>
      <c r="L16">
        <f t="shared" si="10"/>
        <v>1.0916666666666668</v>
      </c>
      <c r="M16" s="75">
        <f t="shared" si="11"/>
        <v>1.0916666666666668</v>
      </c>
      <c r="N16">
        <f t="shared" si="12"/>
        <v>-0.0010289444877633613</v>
      </c>
      <c r="O16">
        <f t="shared" si="13"/>
        <v>-0.003930892389561791</v>
      </c>
      <c r="P16">
        <f t="shared" si="14"/>
        <v>-0.003621299078067075</v>
      </c>
      <c r="Q16" s="80">
        <f t="shared" si="15"/>
        <v>-0.0003095933114947158</v>
      </c>
      <c r="R16" s="80">
        <f t="shared" si="16"/>
        <v>-0.0025923545903037137</v>
      </c>
      <c r="S16" s="80">
        <f t="shared" si="17"/>
        <v>-0.0029019479017984295</v>
      </c>
      <c r="T16" s="80">
        <f t="shared" si="18"/>
        <v>0</v>
      </c>
      <c r="U16" s="80">
        <f t="shared" si="19"/>
        <v>-0.003621299078067075</v>
      </c>
    </row>
    <row r="17" spans="1:21" ht="12.75">
      <c r="A17" s="75">
        <v>12</v>
      </c>
      <c r="B17" s="75">
        <f t="shared" si="3"/>
        <v>1</v>
      </c>
      <c r="C17">
        <f t="shared" si="0"/>
        <v>0.9048374180359595</v>
      </c>
      <c r="D17">
        <f t="shared" si="1"/>
        <v>0.9059506447997551</v>
      </c>
      <c r="E17">
        <f t="shared" si="4"/>
        <v>0.9090909090909091</v>
      </c>
      <c r="F17" s="45">
        <f t="shared" si="5"/>
        <v>0.9090909090909091</v>
      </c>
      <c r="G17" s="79">
        <f t="shared" si="6"/>
        <v>0.9090909090909091</v>
      </c>
      <c r="H17" s="75">
        <f t="shared" si="7"/>
        <v>0.9</v>
      </c>
      <c r="I17">
        <f t="shared" si="2"/>
        <v>1.1051709180756477</v>
      </c>
      <c r="J17">
        <f t="shared" si="8"/>
        <v>1.1038128906249998</v>
      </c>
      <c r="K17">
        <f t="shared" si="9"/>
        <v>1.1</v>
      </c>
      <c r="L17">
        <f t="shared" si="10"/>
        <v>1.1</v>
      </c>
      <c r="M17" s="75">
        <f t="shared" si="11"/>
        <v>1.1</v>
      </c>
      <c r="N17">
        <f t="shared" si="12"/>
        <v>-0.0011132267637955495</v>
      </c>
      <c r="O17">
        <f t="shared" si="13"/>
        <v>-0.004253491054949543</v>
      </c>
      <c r="P17">
        <f t="shared" si="14"/>
        <v>-0.004253491054949543</v>
      </c>
      <c r="Q17" s="80">
        <f t="shared" si="15"/>
        <v>0</v>
      </c>
      <c r="R17" s="80">
        <f t="shared" si="16"/>
        <v>-0.0031402642911539935</v>
      </c>
      <c r="S17" s="80">
        <f t="shared" si="17"/>
        <v>-0.0031402642911539935</v>
      </c>
      <c r="T17" s="80">
        <f t="shared" si="18"/>
        <v>0</v>
      </c>
      <c r="U17" s="80">
        <f t="shared" si="19"/>
        <v>-0.004253491054949543</v>
      </c>
    </row>
    <row r="18" spans="1:21" ht="12.75">
      <c r="A18" s="75">
        <v>13</v>
      </c>
      <c r="B18" s="75">
        <f t="shared" si="3"/>
        <v>1.0833333333333333</v>
      </c>
      <c r="C18">
        <f t="shared" si="0"/>
        <v>0.8973284370942841</v>
      </c>
      <c r="D18">
        <f t="shared" si="1"/>
        <v>0.8985244858365589</v>
      </c>
      <c r="E18">
        <f t="shared" si="4"/>
        <v>0.9018990394972645</v>
      </c>
      <c r="F18" s="45">
        <f t="shared" si="5"/>
        <v>0.9015777610818934</v>
      </c>
      <c r="G18" s="79">
        <f t="shared" si="6"/>
        <v>0.9022556390977443</v>
      </c>
      <c r="H18" s="75">
        <f t="shared" si="7"/>
        <v>0.8916666666666666</v>
      </c>
      <c r="I18">
        <f t="shared" si="2"/>
        <v>1.1144191565333486</v>
      </c>
      <c r="J18">
        <f t="shared" si="8"/>
        <v>1.1129357249167937</v>
      </c>
      <c r="K18">
        <f t="shared" si="9"/>
        <v>1.1087715544717942</v>
      </c>
      <c r="L18">
        <f t="shared" si="10"/>
        <v>1.1091666666666666</v>
      </c>
      <c r="M18" s="75">
        <f t="shared" si="11"/>
        <v>1.1083333333333334</v>
      </c>
      <c r="N18">
        <f t="shared" si="12"/>
        <v>-0.0011960487422747468</v>
      </c>
      <c r="O18">
        <f t="shared" si="13"/>
        <v>-0.0045706024029803505</v>
      </c>
      <c r="P18">
        <f t="shared" si="14"/>
        <v>-0.004249323987609244</v>
      </c>
      <c r="Q18" s="80">
        <f t="shared" si="15"/>
        <v>-0.0003212784153711068</v>
      </c>
      <c r="R18" s="80">
        <f t="shared" si="16"/>
        <v>-0.003053275245334497</v>
      </c>
      <c r="S18" s="80">
        <f t="shared" si="17"/>
        <v>-0.0033745536607056037</v>
      </c>
      <c r="T18" s="80">
        <f t="shared" si="18"/>
        <v>-0.0006778780158509523</v>
      </c>
      <c r="U18" s="80">
        <f t="shared" si="19"/>
        <v>-0.004927202003460196</v>
      </c>
    </row>
    <row r="19" spans="1:21" ht="12.75">
      <c r="A19" s="75">
        <v>14</v>
      </c>
      <c r="B19" s="75">
        <f t="shared" si="3"/>
        <v>1.1666666666666665</v>
      </c>
      <c r="C19">
        <f t="shared" si="0"/>
        <v>0.8898817709880238</v>
      </c>
      <c r="D19">
        <f t="shared" si="1"/>
        <v>0.8911591997666745</v>
      </c>
      <c r="E19">
        <f t="shared" si="4"/>
        <v>0.8947640651906971</v>
      </c>
      <c r="F19" s="45">
        <f t="shared" si="5"/>
        <v>0.8941877794336811</v>
      </c>
      <c r="G19" s="79">
        <f t="shared" si="6"/>
        <v>0.8955223880597015</v>
      </c>
      <c r="H19" s="75">
        <f t="shared" si="7"/>
        <v>0.8833333333333333</v>
      </c>
      <c r="I19">
        <f t="shared" si="2"/>
        <v>1.1237447856581144</v>
      </c>
      <c r="J19">
        <f t="shared" si="8"/>
        <v>1.1221339579525438</v>
      </c>
      <c r="K19">
        <f t="shared" si="9"/>
        <v>1.1176130545507261</v>
      </c>
      <c r="L19">
        <f t="shared" si="10"/>
        <v>1.1183333333333334</v>
      </c>
      <c r="M19" s="75">
        <f t="shared" si="11"/>
        <v>1.1166666666666667</v>
      </c>
      <c r="N19">
        <f t="shared" si="12"/>
        <v>-0.0012774287786506688</v>
      </c>
      <c r="O19">
        <f t="shared" si="13"/>
        <v>-0.004882294202673276</v>
      </c>
      <c r="P19">
        <f t="shared" si="14"/>
        <v>-0.004306008445657317</v>
      </c>
      <c r="Q19" s="80">
        <f t="shared" si="15"/>
        <v>-0.0005762857570159596</v>
      </c>
      <c r="R19" s="80">
        <f t="shared" si="16"/>
        <v>-0.003028579667006648</v>
      </c>
      <c r="S19" s="80">
        <f t="shared" si="17"/>
        <v>-0.0036048654240226075</v>
      </c>
      <c r="T19" s="80">
        <f t="shared" si="18"/>
        <v>-0.001334608626020417</v>
      </c>
      <c r="U19" s="80">
        <f t="shared" si="19"/>
        <v>-0.005640617071677734</v>
      </c>
    </row>
    <row r="20" spans="1:21" ht="12.75">
      <c r="A20" s="75">
        <v>15</v>
      </c>
      <c r="B20" s="75">
        <f t="shared" si="3"/>
        <v>1.25</v>
      </c>
      <c r="C20">
        <f t="shared" si="0"/>
        <v>0.8824969025845955</v>
      </c>
      <c r="D20">
        <f t="shared" si="1"/>
        <v>0.8838542876095171</v>
      </c>
      <c r="E20">
        <f t="shared" si="4"/>
        <v>0.8876855360693731</v>
      </c>
      <c r="F20" s="45">
        <f t="shared" si="5"/>
        <v>0.8869179600886918</v>
      </c>
      <c r="G20" s="79">
        <f t="shared" si="6"/>
        <v>0.8888888888888888</v>
      </c>
      <c r="H20" s="75">
        <f t="shared" si="7"/>
        <v>0.875</v>
      </c>
      <c r="I20">
        <f t="shared" si="2"/>
        <v>1.1331484530668263</v>
      </c>
      <c r="J20">
        <f t="shared" si="8"/>
        <v>1.1314082128906247</v>
      </c>
      <c r="K20">
        <f t="shared" si="9"/>
        <v>1.1265250579928898</v>
      </c>
      <c r="L20">
        <f t="shared" si="10"/>
        <v>1.1275</v>
      </c>
      <c r="M20" s="75">
        <f t="shared" si="11"/>
        <v>1.125</v>
      </c>
      <c r="N20">
        <f t="shared" si="12"/>
        <v>-0.0013573850249216646</v>
      </c>
      <c r="O20">
        <f t="shared" si="13"/>
        <v>-0.005188633484777605</v>
      </c>
      <c r="P20">
        <f t="shared" si="14"/>
        <v>-0.004421057504096382</v>
      </c>
      <c r="Q20" s="80">
        <f t="shared" si="15"/>
        <v>-0.0007675759806812232</v>
      </c>
      <c r="R20" s="80">
        <f t="shared" si="16"/>
        <v>-0.003063672479174717</v>
      </c>
      <c r="S20" s="80">
        <f t="shared" si="17"/>
        <v>-0.0038312484598559404</v>
      </c>
      <c r="T20" s="80">
        <f t="shared" si="18"/>
        <v>-0.0019709288001970027</v>
      </c>
      <c r="U20" s="80">
        <f t="shared" si="19"/>
        <v>-0.0063919863042933844</v>
      </c>
    </row>
    <row r="21" spans="1:21" ht="12.75">
      <c r="A21" s="75">
        <v>16</v>
      </c>
      <c r="B21" s="75">
        <f t="shared" si="3"/>
        <v>1.3333333333333333</v>
      </c>
      <c r="C21">
        <f t="shared" si="0"/>
        <v>0.8751733190429475</v>
      </c>
      <c r="D21">
        <f t="shared" si="1"/>
        <v>0.8766092544746917</v>
      </c>
      <c r="E21">
        <f t="shared" si="4"/>
        <v>0.8806630055922402</v>
      </c>
      <c r="F21" s="45">
        <f t="shared" si="5"/>
        <v>0.8797653958944283</v>
      </c>
      <c r="G21" s="79">
        <f t="shared" si="6"/>
        <v>0.8823529411764706</v>
      </c>
      <c r="H21" s="75">
        <f t="shared" si="7"/>
        <v>0.8666666666666667</v>
      </c>
      <c r="I21">
        <f t="shared" si="2"/>
        <v>1.1426308117957227</v>
      </c>
      <c r="J21">
        <f t="shared" si="8"/>
        <v>1.1407591180397134</v>
      </c>
      <c r="K21">
        <f t="shared" si="9"/>
        <v>1.135508127002004</v>
      </c>
      <c r="L21">
        <f t="shared" si="10"/>
        <v>1.1366666666666665</v>
      </c>
      <c r="M21" s="75">
        <f t="shared" si="11"/>
        <v>1.1333333333333333</v>
      </c>
      <c r="N21">
        <f t="shared" si="12"/>
        <v>-0.0014359354317442508</v>
      </c>
      <c r="O21">
        <f t="shared" si="13"/>
        <v>-0.005489686549292716</v>
      </c>
      <c r="P21">
        <f t="shared" si="14"/>
        <v>-0.004592076851480775</v>
      </c>
      <c r="Q21" s="80">
        <f t="shared" si="15"/>
        <v>-0.0008976096978119408</v>
      </c>
      <c r="R21" s="80">
        <f t="shared" si="16"/>
        <v>-0.0031561414197365245</v>
      </c>
      <c r="S21" s="80">
        <f t="shared" si="17"/>
        <v>-0.004053751117548465</v>
      </c>
      <c r="T21" s="80">
        <f t="shared" si="18"/>
        <v>-0.002587545282042303</v>
      </c>
      <c r="U21" s="80">
        <f t="shared" si="19"/>
        <v>-0.007179622133523078</v>
      </c>
    </row>
    <row r="22" spans="1:21" ht="12.75">
      <c r="A22" s="75">
        <v>17</v>
      </c>
      <c r="B22" s="75">
        <f t="shared" si="3"/>
        <v>1.4166666666666665</v>
      </c>
      <c r="C22">
        <f t="shared" si="0"/>
        <v>0.8679105117779464</v>
      </c>
      <c r="D22">
        <f t="shared" si="1"/>
        <v>0.8694236095284629</v>
      </c>
      <c r="E22">
        <f t="shared" si="4"/>
        <v>0.873696030750857</v>
      </c>
      <c r="F22" s="45">
        <f t="shared" si="5"/>
        <v>0.8727272727272727</v>
      </c>
      <c r="G22" s="79">
        <f t="shared" si="6"/>
        <v>0.8759124087591241</v>
      </c>
      <c r="H22" s="75">
        <f t="shared" si="7"/>
        <v>0.8583333333333334</v>
      </c>
      <c r="I22">
        <f t="shared" si="2"/>
        <v>1.152192520345748</v>
      </c>
      <c r="J22">
        <f t="shared" si="8"/>
        <v>1.1501873069013573</v>
      </c>
      <c r="K22">
        <f t="shared" si="9"/>
        <v>1.1445628282648794</v>
      </c>
      <c r="L22">
        <f t="shared" si="10"/>
        <v>1.1458333333333335</v>
      </c>
      <c r="M22" s="75">
        <f t="shared" si="11"/>
        <v>1.1416666666666666</v>
      </c>
      <c r="N22">
        <f t="shared" si="12"/>
        <v>-0.0015130977505164456</v>
      </c>
      <c r="O22">
        <f t="shared" si="13"/>
        <v>-0.005785518972910575</v>
      </c>
      <c r="P22">
        <f t="shared" si="14"/>
        <v>-0.00481676094932626</v>
      </c>
      <c r="Q22" s="80">
        <f t="shared" si="15"/>
        <v>-0.0009687580235843152</v>
      </c>
      <c r="R22" s="80">
        <f t="shared" si="16"/>
        <v>-0.003303663198809814</v>
      </c>
      <c r="S22" s="80">
        <f t="shared" si="17"/>
        <v>-0.004272421222394129</v>
      </c>
      <c r="T22" s="80">
        <f t="shared" si="18"/>
        <v>-0.0031851360318514432</v>
      </c>
      <c r="U22" s="80">
        <f t="shared" si="19"/>
        <v>-0.008001896981177703</v>
      </c>
    </row>
    <row r="23" spans="1:21" ht="12.75">
      <c r="A23" s="75">
        <v>18</v>
      </c>
      <c r="B23" s="75">
        <f t="shared" si="3"/>
        <v>1.5</v>
      </c>
      <c r="C23">
        <f t="shared" si="0"/>
        <v>0.8607079764250578</v>
      </c>
      <c r="D23">
        <f t="shared" si="1"/>
        <v>0.8622968659605046</v>
      </c>
      <c r="E23">
        <f t="shared" si="4"/>
        <v>0.8667841720414474</v>
      </c>
      <c r="F23" s="45">
        <f t="shared" si="5"/>
        <v>0.8658008658008657</v>
      </c>
      <c r="G23" s="79">
        <f t="shared" si="6"/>
        <v>0.8695652173913044</v>
      </c>
      <c r="H23" s="75">
        <f t="shared" si="7"/>
        <v>0.85</v>
      </c>
      <c r="I23">
        <f t="shared" si="2"/>
        <v>1.161834242728283</v>
      </c>
      <c r="J23">
        <f t="shared" si="8"/>
        <v>1.1596934182128902</v>
      </c>
      <c r="K23">
        <f t="shared" si="9"/>
        <v>1.153689732987167</v>
      </c>
      <c r="L23">
        <f t="shared" si="10"/>
        <v>1.1550000000000002</v>
      </c>
      <c r="M23" s="75">
        <f t="shared" si="11"/>
        <v>1.15</v>
      </c>
      <c r="N23">
        <f t="shared" si="12"/>
        <v>-0.0015888895354467802</v>
      </c>
      <c r="O23">
        <f t="shared" si="13"/>
        <v>-0.0060761956163896125</v>
      </c>
      <c r="P23">
        <f t="shared" si="14"/>
        <v>-0.005092889375807874</v>
      </c>
      <c r="Q23" s="80">
        <f t="shared" si="15"/>
        <v>-0.0009833062405817383</v>
      </c>
      <c r="R23" s="80">
        <f t="shared" si="16"/>
        <v>-0.003503999840361094</v>
      </c>
      <c r="S23" s="80">
        <f t="shared" si="17"/>
        <v>-0.004487306080942832</v>
      </c>
      <c r="T23" s="80">
        <f t="shared" si="18"/>
        <v>-0.0037643515904387526</v>
      </c>
      <c r="U23" s="80">
        <f t="shared" si="19"/>
        <v>-0.008857240966246627</v>
      </c>
    </row>
    <row r="24" spans="1:21" ht="12.75">
      <c r="A24" s="75">
        <v>19</v>
      </c>
      <c r="B24" s="75">
        <f t="shared" si="3"/>
        <v>1.5833333333333333</v>
      </c>
      <c r="C24">
        <f t="shared" si="0"/>
        <v>0.853565212805321</v>
      </c>
      <c r="D24">
        <f t="shared" si="1"/>
        <v>0.8552285409509188</v>
      </c>
      <c r="E24">
        <f t="shared" si="4"/>
        <v>0.8599269934371744</v>
      </c>
      <c r="F24" s="45">
        <f t="shared" si="5"/>
        <v>0.8589835361488904</v>
      </c>
      <c r="G24" s="79">
        <f t="shared" si="6"/>
        <v>0.8633093525179857</v>
      </c>
      <c r="H24" s="75">
        <f t="shared" si="7"/>
        <v>0.8416666666666667</v>
      </c>
      <c r="I24">
        <f t="shared" si="2"/>
        <v>1.1715566485112572</v>
      </c>
      <c r="J24">
        <f t="shared" si="8"/>
        <v>1.169278095990706</v>
      </c>
      <c r="K24">
        <f t="shared" si="9"/>
        <v>1.162889416929391</v>
      </c>
      <c r="L24">
        <f t="shared" si="10"/>
        <v>1.1641666666666668</v>
      </c>
      <c r="M24" s="75">
        <f t="shared" si="11"/>
        <v>1.1583333333333332</v>
      </c>
      <c r="N24">
        <f t="shared" si="12"/>
        <v>-0.0016633281455977755</v>
      </c>
      <c r="O24">
        <f t="shared" si="13"/>
        <v>-0.006361780631853331</v>
      </c>
      <c r="P24">
        <f t="shared" si="14"/>
        <v>-0.005418323343569398</v>
      </c>
      <c r="Q24" s="80">
        <f t="shared" si="15"/>
        <v>-0.0009434572882839332</v>
      </c>
      <c r="R24" s="80">
        <f t="shared" si="16"/>
        <v>-0.0037549951979716223</v>
      </c>
      <c r="S24" s="80">
        <f t="shared" si="17"/>
        <v>-0.0046984524862555554</v>
      </c>
      <c r="T24" s="80">
        <f t="shared" si="18"/>
        <v>-0.004325816369095237</v>
      </c>
      <c r="U24" s="80">
        <f t="shared" si="19"/>
        <v>-0.009744139712664635</v>
      </c>
    </row>
    <row r="25" spans="1:21" ht="12.75">
      <c r="A25" s="75">
        <v>20</v>
      </c>
      <c r="B25" s="75">
        <f t="shared" si="3"/>
        <v>1.6666666666666665</v>
      </c>
      <c r="C25">
        <f t="shared" si="0"/>
        <v>0.8464817248906141</v>
      </c>
      <c r="D25">
        <f t="shared" si="1"/>
        <v>0.8482181556375249</v>
      </c>
      <c r="E25">
        <f t="shared" si="4"/>
        <v>0.853124062360634</v>
      </c>
      <c r="F25" s="45">
        <f t="shared" si="5"/>
        <v>0.8522727272727273</v>
      </c>
      <c r="G25" s="79">
        <f t="shared" si="6"/>
        <v>0.8571428571428571</v>
      </c>
      <c r="H25" s="75">
        <f t="shared" si="7"/>
        <v>0.8333333333333334</v>
      </c>
      <c r="I25">
        <f t="shared" si="2"/>
        <v>1.1813604128656459</v>
      </c>
      <c r="J25">
        <f t="shared" si="8"/>
        <v>1.178941989573891</v>
      </c>
      <c r="K25">
        <f t="shared" si="9"/>
        <v>1.1721624604432719</v>
      </c>
      <c r="L25">
        <f t="shared" si="10"/>
        <v>1.1733333333333333</v>
      </c>
      <c r="M25" s="75">
        <f t="shared" si="11"/>
        <v>1.1666666666666667</v>
      </c>
      <c r="N25">
        <f t="shared" si="12"/>
        <v>-0.0017364307469107665</v>
      </c>
      <c r="O25">
        <f t="shared" si="13"/>
        <v>-0.0066423374700198545</v>
      </c>
      <c r="P25">
        <f t="shared" si="14"/>
        <v>-0.005791002382113164</v>
      </c>
      <c r="Q25" s="80">
        <f t="shared" si="15"/>
        <v>-0.0008513350879066905</v>
      </c>
      <c r="R25" s="80">
        <f t="shared" si="16"/>
        <v>-0.0040545716352023975</v>
      </c>
      <c r="S25" s="80">
        <f t="shared" si="17"/>
        <v>-0.004905906723109088</v>
      </c>
      <c r="T25" s="80">
        <f t="shared" si="18"/>
        <v>-0.004870129870129802</v>
      </c>
      <c r="U25" s="80">
        <f t="shared" si="19"/>
        <v>-0.010661132252242966</v>
      </c>
    </row>
    <row r="26" spans="1:21" ht="12.75">
      <c r="A26" s="75">
        <v>21</v>
      </c>
      <c r="B26" s="75">
        <f t="shared" si="3"/>
        <v>1.75</v>
      </c>
      <c r="C26">
        <f t="shared" si="0"/>
        <v>0.8394570207692074</v>
      </c>
      <c r="D26">
        <f t="shared" si="1"/>
        <v>0.8412652350834191</v>
      </c>
      <c r="E26">
        <f t="shared" si="4"/>
        <v>0.8463749496565661</v>
      </c>
      <c r="F26" s="45">
        <f t="shared" si="5"/>
        <v>0.8456659619450316</v>
      </c>
      <c r="G26" s="79">
        <f t="shared" si="6"/>
        <v>0.851063829787234</v>
      </c>
      <c r="H26" s="75">
        <f t="shared" si="7"/>
        <v>0.825</v>
      </c>
      <c r="I26">
        <f t="shared" si="2"/>
        <v>1.191246216612358</v>
      </c>
      <c r="J26">
        <f t="shared" si="8"/>
        <v>1.1886857536682125</v>
      </c>
      <c r="K26">
        <f t="shared" si="9"/>
        <v>1.181509448508336</v>
      </c>
      <c r="L26">
        <f t="shared" si="10"/>
        <v>1.1825</v>
      </c>
      <c r="M26" s="75">
        <f t="shared" si="11"/>
        <v>1.175</v>
      </c>
      <c r="N26">
        <f t="shared" si="12"/>
        <v>-0.0018082143142117424</v>
      </c>
      <c r="O26">
        <f t="shared" si="13"/>
        <v>-0.00691792888735876</v>
      </c>
      <c r="P26">
        <f t="shared" si="14"/>
        <v>-0.006208941175824267</v>
      </c>
      <c r="Q26" s="80">
        <f t="shared" si="15"/>
        <v>-0.0007089877115344922</v>
      </c>
      <c r="R26" s="80">
        <f t="shared" si="16"/>
        <v>-0.004400726861612525</v>
      </c>
      <c r="S26" s="80">
        <f t="shared" si="17"/>
        <v>-0.005109714573147017</v>
      </c>
      <c r="T26" s="80">
        <f t="shared" si="18"/>
        <v>-0.0053978678422024196</v>
      </c>
      <c r="U26" s="80">
        <f t="shared" si="19"/>
        <v>-0.011606809018026687</v>
      </c>
    </row>
    <row r="27" spans="1:21" ht="12.75">
      <c r="A27" s="75">
        <v>22</v>
      </c>
      <c r="B27" s="75">
        <f t="shared" si="3"/>
        <v>1.8333333333333333</v>
      </c>
      <c r="C27">
        <f t="shared" si="0"/>
        <v>0.8324906126116026</v>
      </c>
      <c r="D27">
        <f t="shared" si="1"/>
        <v>0.8343693082447988</v>
      </c>
      <c r="E27">
        <f t="shared" si="4"/>
        <v>0.8396792295647828</v>
      </c>
      <c r="F27" s="45">
        <f t="shared" si="5"/>
        <v>0.8391608391608392</v>
      </c>
      <c r="G27" s="79">
        <f t="shared" si="6"/>
        <v>0.8450704225352113</v>
      </c>
      <c r="H27" s="75">
        <f t="shared" si="7"/>
        <v>0.8166666666666667</v>
      </c>
      <c r="I27">
        <f t="shared" si="2"/>
        <v>1.2012147462695157</v>
      </c>
      <c r="J27">
        <f t="shared" si="8"/>
        <v>1.1985100483904738</v>
      </c>
      <c r="K27">
        <f t="shared" si="9"/>
        <v>1.190930970768818</v>
      </c>
      <c r="L27">
        <f t="shared" si="10"/>
        <v>1.1916666666666667</v>
      </c>
      <c r="M27" s="75">
        <f t="shared" si="11"/>
        <v>1.1833333333333333</v>
      </c>
      <c r="N27">
        <f t="shared" si="12"/>
        <v>-0.0018786956331962035</v>
      </c>
      <c r="O27">
        <f t="shared" si="13"/>
        <v>-0.0071886169531801825</v>
      </c>
      <c r="P27">
        <f t="shared" si="14"/>
        <v>-0.0066702265492365465</v>
      </c>
      <c r="Q27" s="80">
        <f t="shared" si="15"/>
        <v>-0.000518390403943636</v>
      </c>
      <c r="R27" s="80">
        <f t="shared" si="16"/>
        <v>-0.004791530916040343</v>
      </c>
      <c r="S27" s="80">
        <f t="shared" si="17"/>
        <v>-0.005309921319983979</v>
      </c>
      <c r="T27" s="80">
        <f t="shared" si="18"/>
        <v>-0.005909583374372085</v>
      </c>
      <c r="U27" s="80">
        <f t="shared" si="19"/>
        <v>-0.012579809923608631</v>
      </c>
    </row>
    <row r="28" spans="1:21" ht="12.75">
      <c r="A28" s="75">
        <v>23</v>
      </c>
      <c r="B28" s="75">
        <f t="shared" si="3"/>
        <v>1.9166666666666665</v>
      </c>
      <c r="C28">
        <f t="shared" si="0"/>
        <v>0.8255820166366561</v>
      </c>
      <c r="D28">
        <f t="shared" si="1"/>
        <v>0.8275299079390487</v>
      </c>
      <c r="E28" s="58">
        <f t="shared" si="4"/>
        <v>0.8330364796933089</v>
      </c>
      <c r="F28" s="45">
        <f t="shared" si="5"/>
        <v>0.8327550312283137</v>
      </c>
      <c r="G28" s="79">
        <f t="shared" si="6"/>
        <v>0.8391608391608392</v>
      </c>
      <c r="H28" s="75">
        <f t="shared" si="7"/>
        <v>0.8083333333333333</v>
      </c>
      <c r="I28">
        <f t="shared" si="2"/>
        <v>1.2112666941001289</v>
      </c>
      <c r="J28">
        <f t="shared" si="8"/>
        <v>1.2084155393132383</v>
      </c>
      <c r="K28">
        <f t="shared" si="9"/>
        <v>1.2004276215708591</v>
      </c>
      <c r="L28">
        <f t="shared" si="10"/>
        <v>1.2008333333333332</v>
      </c>
      <c r="M28" s="75">
        <f t="shared" si="11"/>
        <v>1.1916666666666667</v>
      </c>
      <c r="N28">
        <f t="shared" si="12"/>
        <v>-0.0019478913023925903</v>
      </c>
      <c r="O28">
        <f t="shared" si="13"/>
        <v>-0.00745446305665276</v>
      </c>
      <c r="P28">
        <f t="shared" si="14"/>
        <v>-0.007173014591657645</v>
      </c>
      <c r="Q28" s="80">
        <f t="shared" si="15"/>
        <v>-0.00028144846499511544</v>
      </c>
      <c r="R28" s="80">
        <f t="shared" si="16"/>
        <v>-0.0052251232892650545</v>
      </c>
      <c r="S28" s="80">
        <f t="shared" si="17"/>
        <v>-0.00550657175426017</v>
      </c>
      <c r="T28" s="80">
        <f t="shared" si="18"/>
        <v>-0.006405807932525431</v>
      </c>
      <c r="U28" s="80">
        <f t="shared" si="19"/>
        <v>-0.013578822524183076</v>
      </c>
    </row>
    <row r="29" spans="1:21" ht="12.75">
      <c r="A29" s="75">
        <v>24</v>
      </c>
      <c r="B29" s="75">
        <f t="shared" si="3"/>
        <v>2</v>
      </c>
      <c r="C29">
        <f t="shared" si="0"/>
        <v>0.8187307530779818</v>
      </c>
      <c r="D29">
        <f t="shared" si="1"/>
        <v>0.8207465708130919</v>
      </c>
      <c r="E29">
        <f t="shared" si="4"/>
        <v>0.8264462809917354</v>
      </c>
      <c r="F29" s="45">
        <f t="shared" si="5"/>
        <v>0.8264462809917354</v>
      </c>
      <c r="G29" s="79">
        <f t="shared" si="6"/>
        <v>0.8333333333333334</v>
      </c>
      <c r="H29" s="75">
        <f t="shared" si="7"/>
        <v>0.8</v>
      </c>
      <c r="I29">
        <f t="shared" si="2"/>
        <v>1.2214027581601699</v>
      </c>
      <c r="J29">
        <f t="shared" si="8"/>
        <v>1.2184028975099177</v>
      </c>
      <c r="K29">
        <f t="shared" si="9"/>
        <v>1.2100000000000002</v>
      </c>
      <c r="L29">
        <f t="shared" si="10"/>
        <v>1.2100000000000002</v>
      </c>
      <c r="M29" s="75">
        <f t="shared" si="11"/>
        <v>1.2</v>
      </c>
      <c r="N29">
        <f t="shared" si="12"/>
        <v>-0.0020158177351100592</v>
      </c>
      <c r="O29">
        <f t="shared" si="13"/>
        <v>-0.007715527913753628</v>
      </c>
      <c r="P29">
        <f t="shared" si="14"/>
        <v>-0.007715527913753628</v>
      </c>
      <c r="Q29" s="80">
        <f t="shared" si="15"/>
        <v>0</v>
      </c>
      <c r="R29" s="80">
        <f t="shared" si="16"/>
        <v>-0.005699710178643569</v>
      </c>
      <c r="S29" s="80">
        <f t="shared" si="17"/>
        <v>-0.005699710178643569</v>
      </c>
      <c r="T29" s="80">
        <f t="shared" si="18"/>
        <v>-0.006887052341597921</v>
      </c>
      <c r="U29" s="80">
        <f t="shared" si="19"/>
        <v>-0.01460258025535155</v>
      </c>
    </row>
    <row r="30" spans="1:21" ht="12.75">
      <c r="A30" s="75">
        <v>25</v>
      </c>
      <c r="B30" s="75">
        <f t="shared" si="3"/>
        <v>2.083333333333333</v>
      </c>
      <c r="C30">
        <f t="shared" si="0"/>
        <v>0.811936346150635</v>
      </c>
      <c r="D30">
        <f t="shared" si="1"/>
        <v>0.8140188373119991</v>
      </c>
      <c r="E30">
        <f t="shared" si="4"/>
        <v>0.8199082177247858</v>
      </c>
      <c r="F30" s="45">
        <f t="shared" si="5"/>
        <v>0.8196161464380848</v>
      </c>
      <c r="G30" s="79">
        <f t="shared" si="6"/>
        <v>0.8275862068965518</v>
      </c>
      <c r="H30" s="75">
        <f t="shared" si="7"/>
        <v>0.7916666666666667</v>
      </c>
      <c r="I30">
        <f t="shared" si="2"/>
        <v>1.2316236423470497</v>
      </c>
      <c r="J30">
        <f t="shared" si="8"/>
        <v>1.2284727996002354</v>
      </c>
      <c r="K30">
        <f t="shared" si="9"/>
        <v>1.2196487099189737</v>
      </c>
      <c r="L30">
        <f t="shared" si="10"/>
        <v>1.2200833333333334</v>
      </c>
      <c r="M30" s="75">
        <f t="shared" si="11"/>
        <v>1.2083333333333333</v>
      </c>
      <c r="N30">
        <f t="shared" si="12"/>
        <v>-0.002082491161364053</v>
      </c>
      <c r="O30">
        <f t="shared" si="13"/>
        <v>-0.007971871574150802</v>
      </c>
      <c r="P30">
        <f t="shared" si="14"/>
        <v>-0.007679800287449745</v>
      </c>
      <c r="Q30" s="80">
        <f t="shared" si="15"/>
        <v>-0.00029207128670105664</v>
      </c>
      <c r="R30" s="80">
        <f t="shared" si="16"/>
        <v>-0.005597309126085692</v>
      </c>
      <c r="S30" s="80">
        <f t="shared" si="17"/>
        <v>-0.005889380412786749</v>
      </c>
      <c r="T30" s="80">
        <f t="shared" si="18"/>
        <v>-0.007970060458467043</v>
      </c>
      <c r="U30" s="80">
        <f t="shared" si="19"/>
        <v>-0.015649860745916788</v>
      </c>
    </row>
    <row r="31" spans="1:21" ht="12.75">
      <c r="A31" s="75">
        <v>26</v>
      </c>
      <c r="B31" s="75">
        <f t="shared" si="3"/>
        <v>2.1666666666666665</v>
      </c>
      <c r="C31">
        <f t="shared" si="0"/>
        <v>0.8051983240180706</v>
      </c>
      <c r="D31">
        <f t="shared" si="1"/>
        <v>0.8073462516478525</v>
      </c>
      <c r="E31">
        <f t="shared" si="4"/>
        <v>0.8134218774460882</v>
      </c>
      <c r="F31" s="45">
        <f t="shared" si="5"/>
        <v>0.8128979813033465</v>
      </c>
      <c r="G31" s="79">
        <f t="shared" si="6"/>
        <v>0.821917808219178</v>
      </c>
      <c r="H31" s="75">
        <f t="shared" si="7"/>
        <v>0.7833333333333333</v>
      </c>
      <c r="I31">
        <f t="shared" si="2"/>
        <v>1.2419300564485</v>
      </c>
      <c r="J31">
        <f t="shared" si="8"/>
        <v>1.2386259277960692</v>
      </c>
      <c r="K31">
        <f t="shared" si="9"/>
        <v>1.229374360005799</v>
      </c>
      <c r="L31">
        <f t="shared" si="10"/>
        <v>1.2301666666666666</v>
      </c>
      <c r="M31" s="75">
        <f t="shared" si="11"/>
        <v>1.2166666666666668</v>
      </c>
      <c r="N31">
        <f t="shared" si="12"/>
        <v>-0.0021479276297818872</v>
      </c>
      <c r="O31">
        <f t="shared" si="13"/>
        <v>-0.008223553428017616</v>
      </c>
      <c r="P31">
        <f t="shared" si="14"/>
        <v>-0.007699657285275885</v>
      </c>
      <c r="Q31" s="80">
        <f t="shared" si="15"/>
        <v>-0.000523896142741731</v>
      </c>
      <c r="R31" s="80">
        <f t="shared" si="16"/>
        <v>-0.005551729655493998</v>
      </c>
      <c r="S31" s="80">
        <f t="shared" si="17"/>
        <v>-0.006075625798235729</v>
      </c>
      <c r="T31" s="80">
        <f t="shared" si="18"/>
        <v>-0.009019826915831586</v>
      </c>
      <c r="U31" s="80">
        <f t="shared" si="19"/>
        <v>-0.01671948420110747</v>
      </c>
    </row>
    <row r="32" spans="1:21" ht="12.75">
      <c r="A32" s="75">
        <v>27</v>
      </c>
      <c r="B32" s="75">
        <f t="shared" si="3"/>
        <v>2.25</v>
      </c>
      <c r="C32">
        <f t="shared" si="0"/>
        <v>0.7985162187593771</v>
      </c>
      <c r="D32">
        <f t="shared" si="1"/>
        <v>0.8007283617688703</v>
      </c>
      <c r="E32">
        <f t="shared" si="4"/>
        <v>0.8069868509721573</v>
      </c>
      <c r="F32" s="45">
        <f t="shared" si="5"/>
        <v>0.8062890546260835</v>
      </c>
      <c r="G32" s="79">
        <f t="shared" si="6"/>
        <v>0.8163265306122448</v>
      </c>
      <c r="H32" s="75">
        <f t="shared" si="7"/>
        <v>0.775</v>
      </c>
      <c r="I32">
        <f t="shared" si="2"/>
        <v>1.2523227161918644</v>
      </c>
      <c r="J32">
        <f t="shared" si="8"/>
        <v>1.2488629699476654</v>
      </c>
      <c r="K32">
        <f t="shared" si="9"/>
        <v>1.239177563792179</v>
      </c>
      <c r="L32">
        <f t="shared" si="10"/>
        <v>1.24025</v>
      </c>
      <c r="M32" s="75">
        <f t="shared" si="11"/>
        <v>1.225</v>
      </c>
      <c r="N32">
        <f t="shared" si="12"/>
        <v>-0.0022121430094932393</v>
      </c>
      <c r="O32">
        <f t="shared" si="13"/>
        <v>-0.008470632212780216</v>
      </c>
      <c r="P32">
        <f t="shared" si="14"/>
        <v>-0.007772835866706407</v>
      </c>
      <c r="Q32" s="80">
        <f t="shared" si="15"/>
        <v>-0.000697796346073809</v>
      </c>
      <c r="R32" s="80">
        <f t="shared" si="16"/>
        <v>-0.0055606928572131675</v>
      </c>
      <c r="S32" s="80">
        <f t="shared" si="17"/>
        <v>-0.0062584892032869766</v>
      </c>
      <c r="T32" s="80">
        <f t="shared" si="18"/>
        <v>-0.010037475986161337</v>
      </c>
      <c r="U32" s="80">
        <f t="shared" si="19"/>
        <v>-0.017810311852867744</v>
      </c>
    </row>
    <row r="33" spans="1:21" ht="12.75">
      <c r="A33" s="75">
        <v>28</v>
      </c>
      <c r="B33" s="75">
        <f t="shared" si="3"/>
        <v>2.333333333333333</v>
      </c>
      <c r="C33">
        <f t="shared" si="0"/>
        <v>0.7918895663367816</v>
      </c>
      <c r="D33">
        <f t="shared" si="1"/>
        <v>0.7941647193287796</v>
      </c>
      <c r="E33">
        <f t="shared" si="4"/>
        <v>0.8006027323565819</v>
      </c>
      <c r="F33" s="45">
        <f t="shared" si="5"/>
        <v>0.7997867235403893</v>
      </c>
      <c r="G33" s="79">
        <f t="shared" si="6"/>
        <v>0.8108108108108107</v>
      </c>
      <c r="H33" s="75">
        <f t="shared" si="7"/>
        <v>0.7666666666666667</v>
      </c>
      <c r="I33">
        <f t="shared" si="2"/>
        <v>1.2628023432938014</v>
      </c>
      <c r="J33">
        <f t="shared" si="8"/>
        <v>1.2591846195902412</v>
      </c>
      <c r="K33">
        <f t="shared" si="9"/>
        <v>1.2490589397022045</v>
      </c>
      <c r="L33">
        <f t="shared" si="10"/>
        <v>1.2503333333333333</v>
      </c>
      <c r="M33" s="75">
        <f t="shared" si="11"/>
        <v>1.2333333333333334</v>
      </c>
      <c r="N33">
        <f t="shared" si="12"/>
        <v>-0.0022751529919979863</v>
      </c>
      <c r="O33">
        <f t="shared" si="13"/>
        <v>-0.008713166019800211</v>
      </c>
      <c r="P33">
        <f t="shared" si="14"/>
        <v>-0.007897157203607619</v>
      </c>
      <c r="Q33" s="80">
        <f t="shared" si="15"/>
        <v>-0.0008160088161925927</v>
      </c>
      <c r="R33" s="80">
        <f t="shared" si="16"/>
        <v>-0.0056220042116096325</v>
      </c>
      <c r="S33" s="80">
        <f t="shared" si="17"/>
        <v>-0.006438013027802225</v>
      </c>
      <c r="T33" s="80">
        <f t="shared" si="18"/>
        <v>-0.011024087270421479</v>
      </c>
      <c r="U33" s="80">
        <f t="shared" si="19"/>
        <v>-0.018921244474029097</v>
      </c>
    </row>
    <row r="34" spans="1:21" ht="12.75">
      <c r="A34" s="75">
        <v>29</v>
      </c>
      <c r="B34" s="75">
        <f t="shared" si="3"/>
        <v>2.4166666666666665</v>
      </c>
      <c r="C34">
        <f t="shared" si="0"/>
        <v>0.7853179065634253</v>
      </c>
      <c r="D34">
        <f t="shared" si="1"/>
        <v>0.7876548796564417</v>
      </c>
      <c r="E34">
        <f t="shared" si="4"/>
        <v>0.7942691188644154</v>
      </c>
      <c r="F34" s="45">
        <f t="shared" si="5"/>
        <v>0.793388429752066</v>
      </c>
      <c r="G34" s="79">
        <f t="shared" si="6"/>
        <v>0.8053691275167785</v>
      </c>
      <c r="H34" s="75">
        <f t="shared" si="7"/>
        <v>0.7583333333333333</v>
      </c>
      <c r="I34">
        <f t="shared" si="2"/>
        <v>1.2733696655104045</v>
      </c>
      <c r="J34">
        <f t="shared" si="8"/>
        <v>1.2695915759909706</v>
      </c>
      <c r="K34">
        <f t="shared" si="9"/>
        <v>1.2590191110913675</v>
      </c>
      <c r="L34">
        <f t="shared" si="10"/>
        <v>1.2604166666666667</v>
      </c>
      <c r="M34" s="75">
        <f t="shared" si="11"/>
        <v>1.2416666666666667</v>
      </c>
      <c r="N34">
        <f t="shared" si="12"/>
        <v>-0.0023369730930163923</v>
      </c>
      <c r="O34">
        <f t="shared" si="13"/>
        <v>-0.008951212300990163</v>
      </c>
      <c r="P34">
        <f t="shared" si="14"/>
        <v>-0.008070523188640766</v>
      </c>
      <c r="Q34" s="80">
        <f t="shared" si="15"/>
        <v>-0.0008806891123493976</v>
      </c>
      <c r="R34" s="80">
        <f t="shared" si="16"/>
        <v>-0.0057335500956243735</v>
      </c>
      <c r="S34" s="80">
        <f t="shared" si="17"/>
        <v>-0.006614239207973771</v>
      </c>
      <c r="T34" s="80">
        <f t="shared" si="18"/>
        <v>-0.011980697764712445</v>
      </c>
      <c r="U34" s="80">
        <f t="shared" si="19"/>
        <v>-0.02005122095335321</v>
      </c>
    </row>
    <row r="35" spans="1:21" ht="12.75">
      <c r="A35" s="75">
        <v>30</v>
      </c>
      <c r="B35" s="75">
        <f t="shared" si="3"/>
        <v>2.5</v>
      </c>
      <c r="C35">
        <f t="shared" si="0"/>
        <v>0.7788007830714049</v>
      </c>
      <c r="D35">
        <f t="shared" si="1"/>
        <v>0.7811984017257271</v>
      </c>
      <c r="E35">
        <f t="shared" si="4"/>
        <v>0.7879856109467703</v>
      </c>
      <c r="F35" s="45">
        <f t="shared" si="5"/>
        <v>0.7870916961826051</v>
      </c>
      <c r="G35" s="79">
        <f t="shared" si="6"/>
        <v>0.8</v>
      </c>
      <c r="H35" s="75">
        <f t="shared" si="7"/>
        <v>0.75</v>
      </c>
      <c r="I35">
        <f t="shared" si="2"/>
        <v>1.2840254166877414</v>
      </c>
      <c r="J35">
        <f t="shared" si="8"/>
        <v>1.280084544196357</v>
      </c>
      <c r="K35">
        <f t="shared" si="9"/>
        <v>1.2690587062858836</v>
      </c>
      <c r="L35">
        <f t="shared" si="10"/>
        <v>1.2705000000000002</v>
      </c>
      <c r="M35" s="75">
        <f t="shared" si="11"/>
        <v>1.25</v>
      </c>
      <c r="N35">
        <f t="shared" si="12"/>
        <v>-0.002397618654322198</v>
      </c>
      <c r="O35">
        <f t="shared" si="13"/>
        <v>-0.009184827875365453</v>
      </c>
      <c r="P35">
        <f t="shared" si="14"/>
        <v>-0.008290913111200227</v>
      </c>
      <c r="Q35" s="80">
        <f t="shared" si="15"/>
        <v>-0.0008939147641652267</v>
      </c>
      <c r="R35" s="80">
        <f t="shared" si="16"/>
        <v>-0.005893294456878029</v>
      </c>
      <c r="S35" s="80">
        <f t="shared" si="17"/>
        <v>-0.0067872092210432555</v>
      </c>
      <c r="T35" s="80">
        <f t="shared" si="18"/>
        <v>-0.01290830381739494</v>
      </c>
      <c r="U35" s="80">
        <f t="shared" si="19"/>
        <v>-0.021199216928595166</v>
      </c>
    </row>
    <row r="36" spans="1:21" ht="12.75">
      <c r="A36" s="75">
        <v>31</v>
      </c>
      <c r="B36" s="75">
        <f t="shared" si="3"/>
        <v>2.583333333333333</v>
      </c>
      <c r="C36">
        <f t="shared" si="0"/>
        <v>0.7723377432800811</v>
      </c>
      <c r="D36">
        <f t="shared" si="1"/>
        <v>0.7747948481256387</v>
      </c>
      <c r="E36">
        <f t="shared" si="4"/>
        <v>0.7817518122156131</v>
      </c>
      <c r="F36" s="45">
        <f t="shared" si="5"/>
        <v>0.7808941237717185</v>
      </c>
      <c r="G36" s="79">
        <f t="shared" si="6"/>
        <v>0.794701986754967</v>
      </c>
      <c r="H36" s="75">
        <f t="shared" si="7"/>
        <v>0.7416666666666667</v>
      </c>
      <c r="I36">
        <f t="shared" si="2"/>
        <v>1.294770336812815</v>
      </c>
      <c r="J36">
        <f t="shared" si="8"/>
        <v>1.290664235079997</v>
      </c>
      <c r="K36">
        <f t="shared" si="9"/>
        <v>1.2791783586223302</v>
      </c>
      <c r="L36">
        <f t="shared" si="10"/>
        <v>1.2805833333333334</v>
      </c>
      <c r="M36" s="75">
        <f t="shared" si="11"/>
        <v>1.2583333333333333</v>
      </c>
      <c r="N36">
        <f t="shared" si="12"/>
        <v>-0.0024571048455576117</v>
      </c>
      <c r="O36">
        <f t="shared" si="13"/>
        <v>-0.009414068935531983</v>
      </c>
      <c r="P36">
        <f t="shared" si="14"/>
        <v>-0.008556380491637428</v>
      </c>
      <c r="Q36" s="80">
        <f t="shared" si="15"/>
        <v>-0.0008576884438945553</v>
      </c>
      <c r="R36" s="80">
        <f t="shared" si="16"/>
        <v>-0.006099275646079816</v>
      </c>
      <c r="S36" s="80">
        <f t="shared" si="17"/>
        <v>-0.006956964089974371</v>
      </c>
      <c r="T36" s="80">
        <f t="shared" si="18"/>
        <v>-0.013807862983248431</v>
      </c>
      <c r="U36" s="80">
        <f t="shared" si="19"/>
        <v>-0.02236424347488586</v>
      </c>
    </row>
    <row r="37" spans="1:21" ht="12.75">
      <c r="A37" s="75">
        <v>32</v>
      </c>
      <c r="B37" s="75">
        <f t="shared" si="3"/>
        <v>2.6666666666666665</v>
      </c>
      <c r="C37">
        <f t="shared" si="0"/>
        <v>0.7659283383646487</v>
      </c>
      <c r="D37">
        <f t="shared" si="1"/>
        <v>0.7684437850306748</v>
      </c>
      <c r="E37">
        <f t="shared" si="4"/>
        <v>0.7755673294187581</v>
      </c>
      <c r="F37" s="45">
        <f t="shared" si="5"/>
        <v>0.774793388429752</v>
      </c>
      <c r="G37" s="79">
        <f t="shared" si="6"/>
        <v>0.7894736842105263</v>
      </c>
      <c r="H37" s="75">
        <f t="shared" si="7"/>
        <v>0.7333333333333334</v>
      </c>
      <c r="I37">
        <f t="shared" si="2"/>
        <v>1.3056051720649522</v>
      </c>
      <c r="J37">
        <f t="shared" si="8"/>
        <v>1.3013313653907448</v>
      </c>
      <c r="K37">
        <f t="shared" si="9"/>
        <v>1.2893787064875992</v>
      </c>
      <c r="L37">
        <f t="shared" si="10"/>
        <v>1.2906666666666669</v>
      </c>
      <c r="M37" s="75">
        <f t="shared" si="11"/>
        <v>1.2666666666666666</v>
      </c>
      <c r="N37">
        <f t="shared" si="12"/>
        <v>-0.0025154466660261</v>
      </c>
      <c r="O37">
        <f t="shared" si="13"/>
        <v>-0.00963899105410937</v>
      </c>
      <c r="P37">
        <f t="shared" si="14"/>
        <v>-0.008865050065103297</v>
      </c>
      <c r="Q37" s="80">
        <f t="shared" si="15"/>
        <v>-0.0007739409890060722</v>
      </c>
      <c r="R37" s="80">
        <f t="shared" si="16"/>
        <v>-0.006349603399077197</v>
      </c>
      <c r="S37" s="80">
        <f t="shared" si="17"/>
        <v>-0.007123544388083269</v>
      </c>
      <c r="T37" s="80">
        <f t="shared" si="18"/>
        <v>-0.014680295780774344</v>
      </c>
      <c r="U37" s="80">
        <f t="shared" si="19"/>
        <v>-0.02354534584587764</v>
      </c>
    </row>
    <row r="38" spans="1:21" ht="12.75">
      <c r="A38" s="75">
        <v>33</v>
      </c>
      <c r="B38" s="75">
        <f t="shared" si="3"/>
        <v>2.75</v>
      </c>
      <c r="C38">
        <f t="shared" si="0"/>
        <v>0.7595721232249685</v>
      </c>
      <c r="D38">
        <f t="shared" si="1"/>
        <v>0.7621447821714411</v>
      </c>
      <c r="E38">
        <f t="shared" si="4"/>
        <v>0.7694317724150601</v>
      </c>
      <c r="F38" s="45">
        <f t="shared" si="5"/>
        <v>0.7687872381318469</v>
      </c>
      <c r="G38" s="79">
        <f t="shared" si="6"/>
        <v>0.7843137254901962</v>
      </c>
      <c r="H38" s="75">
        <f t="shared" si="7"/>
        <v>0.725</v>
      </c>
      <c r="I38">
        <f t="shared" si="2"/>
        <v>1.3165306748676215</v>
      </c>
      <c r="J38">
        <f t="shared" si="8"/>
        <v>1.312086657801266</v>
      </c>
      <c r="K38">
        <f t="shared" si="9"/>
        <v>1.2996603933591695</v>
      </c>
      <c r="L38">
        <f t="shared" si="10"/>
        <v>1.30075</v>
      </c>
      <c r="M38" s="75">
        <f t="shared" si="11"/>
        <v>1.275</v>
      </c>
      <c r="N38">
        <f t="shared" si="12"/>
        <v>-0.002572658946472628</v>
      </c>
      <c r="O38">
        <f t="shared" si="13"/>
        <v>-0.009859649190091635</v>
      </c>
      <c r="P38">
        <f t="shared" si="14"/>
        <v>-0.00921511490687843</v>
      </c>
      <c r="Q38" s="80">
        <f t="shared" si="15"/>
        <v>-0.000644534283213205</v>
      </c>
      <c r="R38" s="80">
        <f t="shared" si="16"/>
        <v>-0.006642455960405802</v>
      </c>
      <c r="S38" s="80">
        <f t="shared" si="17"/>
        <v>-0.007286990243619007</v>
      </c>
      <c r="T38" s="80">
        <f t="shared" si="18"/>
        <v>-0.015526487358349272</v>
      </c>
      <c r="U38" s="80">
        <f t="shared" si="19"/>
        <v>-0.024741602265227702</v>
      </c>
    </row>
    <row r="39" spans="1:21" ht="12.75">
      <c r="A39" s="75">
        <v>34</v>
      </c>
      <c r="B39" s="75">
        <f t="shared" si="3"/>
        <v>2.833333333333333</v>
      </c>
      <c r="C39">
        <f t="shared" si="0"/>
        <v>0.7532686564546568</v>
      </c>
      <c r="D39">
        <f t="shared" si="1"/>
        <v>0.7558974128055013</v>
      </c>
      <c r="E39">
        <f t="shared" si="4"/>
        <v>0.7633447541498025</v>
      </c>
      <c r="F39" s="45">
        <f t="shared" si="5"/>
        <v>0.7628734901462174</v>
      </c>
      <c r="G39" s="79">
        <f t="shared" si="6"/>
        <v>0.7792207792207793</v>
      </c>
      <c r="H39" s="75">
        <f t="shared" si="7"/>
        <v>0.7166666666666667</v>
      </c>
      <c r="I39">
        <f t="shared" si="2"/>
        <v>1.3275476039406868</v>
      </c>
      <c r="J39">
        <f t="shared" si="8"/>
        <v>1.3229308409569969</v>
      </c>
      <c r="K39">
        <f t="shared" si="9"/>
        <v>1.3100240678456998</v>
      </c>
      <c r="L39">
        <f t="shared" si="10"/>
        <v>1.3108333333333333</v>
      </c>
      <c r="M39" s="75">
        <f t="shared" si="11"/>
        <v>1.2833333333333332</v>
      </c>
      <c r="N39">
        <f t="shared" si="12"/>
        <v>-0.0026287563508444745</v>
      </c>
      <c r="O39">
        <f t="shared" si="13"/>
        <v>-0.010076097695145725</v>
      </c>
      <c r="P39">
        <f t="shared" si="14"/>
        <v>-0.009604833691560621</v>
      </c>
      <c r="Q39" s="80">
        <f t="shared" si="15"/>
        <v>-0.00047126400358510345</v>
      </c>
      <c r="R39" s="80">
        <f t="shared" si="16"/>
        <v>-0.006976077340716147</v>
      </c>
      <c r="S39" s="80">
        <f t="shared" si="17"/>
        <v>-0.00744734134430125</v>
      </c>
      <c r="T39" s="80">
        <f t="shared" si="18"/>
        <v>-0.016347289074561844</v>
      </c>
      <c r="U39" s="80">
        <f t="shared" si="19"/>
        <v>-0.025952122766122465</v>
      </c>
    </row>
    <row r="40" spans="1:21" ht="12.75">
      <c r="A40" s="75">
        <v>35</v>
      </c>
      <c r="B40" s="75">
        <f t="shared" si="3"/>
        <v>2.9166666666666665</v>
      </c>
      <c r="C40">
        <f t="shared" si="0"/>
        <v>0.7470175003104326</v>
      </c>
      <c r="D40">
        <f t="shared" si="1"/>
        <v>0.7497012536884633</v>
      </c>
      <c r="E40" s="58">
        <f t="shared" si="4"/>
        <v>0.7573058906302806</v>
      </c>
      <c r="F40" s="45">
        <f t="shared" si="5"/>
        <v>0.7570500283893761</v>
      </c>
      <c r="G40" s="79">
        <f t="shared" si="6"/>
        <v>0.7741935483870968</v>
      </c>
      <c r="H40" s="75">
        <f t="shared" si="7"/>
        <v>0.7083333333333333</v>
      </c>
      <c r="I40">
        <f t="shared" si="2"/>
        <v>1.338656724353094</v>
      </c>
      <c r="J40">
        <f t="shared" si="8"/>
        <v>1.3338646495255133</v>
      </c>
      <c r="K40">
        <f t="shared" si="9"/>
        <v>1.3204703837279452</v>
      </c>
      <c r="L40">
        <f t="shared" si="10"/>
        <v>1.3209166666666667</v>
      </c>
      <c r="M40" s="75">
        <f t="shared" si="11"/>
        <v>1.2916666666666667</v>
      </c>
      <c r="N40">
        <f t="shared" si="12"/>
        <v>-0.0026837533780307288</v>
      </c>
      <c r="O40">
        <f t="shared" si="13"/>
        <v>-0.010288390319848073</v>
      </c>
      <c r="P40">
        <f t="shared" si="14"/>
        <v>-0.010032528078943503</v>
      </c>
      <c r="Q40" s="80">
        <f t="shared" si="15"/>
        <v>-0.00025586224090456966</v>
      </c>
      <c r="R40" s="80">
        <f t="shared" si="16"/>
        <v>-0.007348774700912775</v>
      </c>
      <c r="S40" s="80">
        <f t="shared" si="17"/>
        <v>-0.007604636941817344</v>
      </c>
      <c r="T40" s="80">
        <f t="shared" si="18"/>
        <v>-0.01714351999772068</v>
      </c>
      <c r="U40" s="80">
        <f t="shared" si="19"/>
        <v>-0.027176048076664183</v>
      </c>
    </row>
    <row r="41" spans="1:21" ht="12.75">
      <c r="A41" s="75">
        <v>36</v>
      </c>
      <c r="B41" s="75">
        <f t="shared" si="3"/>
        <v>3</v>
      </c>
      <c r="C41">
        <f t="shared" si="0"/>
        <v>0.7408182206817179</v>
      </c>
      <c r="D41">
        <f t="shared" si="1"/>
        <v>0.7435558850453085</v>
      </c>
      <c r="E41">
        <f t="shared" si="4"/>
        <v>0.7513148009015775</v>
      </c>
      <c r="F41" s="45">
        <f t="shared" si="5"/>
        <v>0.7513148009015775</v>
      </c>
      <c r="G41" s="79">
        <f t="shared" si="6"/>
        <v>0.7692307692307692</v>
      </c>
      <c r="H41" s="75">
        <f t="shared" si="7"/>
        <v>0.7</v>
      </c>
      <c r="I41">
        <f t="shared" si="2"/>
        <v>1.3498588075760032</v>
      </c>
      <c r="J41">
        <f t="shared" si="8"/>
        <v>1.3448888242462975</v>
      </c>
      <c r="K41">
        <f t="shared" si="9"/>
        <v>1.3310000000000004</v>
      </c>
      <c r="L41">
        <f t="shared" si="10"/>
        <v>1.3310000000000004</v>
      </c>
      <c r="M41" s="75">
        <f t="shared" si="11"/>
        <v>1.3</v>
      </c>
      <c r="N41">
        <f t="shared" si="12"/>
        <v>-0.002737664363590575</v>
      </c>
      <c r="O41">
        <f t="shared" si="13"/>
        <v>-0.010496580219859664</v>
      </c>
      <c r="P41">
        <f t="shared" si="14"/>
        <v>-0.010496580219859664</v>
      </c>
      <c r="Q41" s="80">
        <f t="shared" si="15"/>
        <v>0</v>
      </c>
      <c r="R41" s="80">
        <f t="shared" si="16"/>
        <v>-0.0077589158562690885</v>
      </c>
      <c r="S41" s="80">
        <f t="shared" si="17"/>
        <v>-0.0077589158562690885</v>
      </c>
      <c r="T41" s="80">
        <f t="shared" si="18"/>
        <v>-0.017915968329191623</v>
      </c>
      <c r="U41" s="80">
        <f t="shared" si="19"/>
        <v>-0.028412548549051286</v>
      </c>
    </row>
    <row r="42" spans="1:21" ht="12.75">
      <c r="A42" s="75">
        <v>37</v>
      </c>
      <c r="B42" s="75">
        <f t="shared" si="3"/>
        <v>3.083333333333333</v>
      </c>
      <c r="C42">
        <f t="shared" si="0"/>
        <v>0.7346703870604917</v>
      </c>
      <c r="D42">
        <f t="shared" si="1"/>
        <v>0.7374608905419524</v>
      </c>
      <c r="E42">
        <f t="shared" si="4"/>
        <v>0.7453711070225325</v>
      </c>
      <c r="F42" s="45">
        <f t="shared" si="5"/>
        <v>0.745105587670986</v>
      </c>
      <c r="G42" s="79">
        <f t="shared" si="6"/>
        <v>0.7643312101910827</v>
      </c>
      <c r="H42" s="75">
        <f t="shared" si="7"/>
        <v>0.6916666666666667</v>
      </c>
      <c r="I42">
        <f t="shared" si="2"/>
        <v>1.3611546315363618</v>
      </c>
      <c r="J42">
        <f t="shared" si="8"/>
        <v>1.3560041119809219</v>
      </c>
      <c r="K42">
        <f t="shared" si="9"/>
        <v>1.3416135809108711</v>
      </c>
      <c r="L42">
        <f t="shared" si="10"/>
        <v>1.3420916666666671</v>
      </c>
      <c r="M42" s="75">
        <f t="shared" si="11"/>
        <v>1.3083333333333333</v>
      </c>
      <c r="N42">
        <f t="shared" si="12"/>
        <v>-0.0027905034814607044</v>
      </c>
      <c r="O42">
        <f t="shared" si="13"/>
        <v>-0.010700719962040806</v>
      </c>
      <c r="P42">
        <f t="shared" si="14"/>
        <v>-0.0104352006104943</v>
      </c>
      <c r="Q42" s="80">
        <f t="shared" si="15"/>
        <v>-0.00026551935154650597</v>
      </c>
      <c r="R42" s="80">
        <f t="shared" si="16"/>
        <v>-0.007644697129033595</v>
      </c>
      <c r="S42" s="80">
        <f t="shared" si="17"/>
        <v>-0.007910216480580101</v>
      </c>
      <c r="T42" s="80">
        <f t="shared" si="18"/>
        <v>-0.01922562252009674</v>
      </c>
      <c r="U42" s="80">
        <f t="shared" si="19"/>
        <v>-0.02966082313059104</v>
      </c>
    </row>
    <row r="43" spans="1:21" ht="12.75">
      <c r="A43" s="75">
        <v>38</v>
      </c>
      <c r="B43" s="75">
        <f t="shared" si="3"/>
        <v>3.1666666666666665</v>
      </c>
      <c r="C43">
        <f t="shared" si="0"/>
        <v>0.728573572511393</v>
      </c>
      <c r="D43">
        <f t="shared" si="1"/>
        <v>0.7314158572570374</v>
      </c>
      <c r="E43">
        <f t="shared" si="4"/>
        <v>0.7394744340418983</v>
      </c>
      <c r="F43" s="45">
        <f t="shared" si="5"/>
        <v>0.7389981648212238</v>
      </c>
      <c r="G43" s="79">
        <f t="shared" si="6"/>
        <v>0.759493670886076</v>
      </c>
      <c r="H43" s="75">
        <f t="shared" si="7"/>
        <v>0.6833333333333333</v>
      </c>
      <c r="I43">
        <f t="shared" si="2"/>
        <v>1.3725449806709296</v>
      </c>
      <c r="J43">
        <f t="shared" si="8"/>
        <v>1.367211265763651</v>
      </c>
      <c r="K43">
        <f t="shared" si="9"/>
        <v>1.3523117960063789</v>
      </c>
      <c r="L43">
        <f t="shared" si="10"/>
        <v>1.3531833333333336</v>
      </c>
      <c r="M43" s="75">
        <f t="shared" si="11"/>
        <v>1.3166666666666667</v>
      </c>
      <c r="N43">
        <f t="shared" si="12"/>
        <v>-0.002842284745644408</v>
      </c>
      <c r="O43">
        <f t="shared" si="13"/>
        <v>-0.01090086153050529</v>
      </c>
      <c r="P43">
        <f t="shared" si="14"/>
        <v>-0.010424592309830838</v>
      </c>
      <c r="Q43" s="80">
        <f t="shared" si="15"/>
        <v>-0.0004762692206744523</v>
      </c>
      <c r="R43" s="80">
        <f t="shared" si="16"/>
        <v>-0.00758230756418643</v>
      </c>
      <c r="S43" s="80">
        <f t="shared" si="17"/>
        <v>-0.008058576784860882</v>
      </c>
      <c r="T43" s="80">
        <f t="shared" si="18"/>
        <v>-0.020495506064852176</v>
      </c>
      <c r="U43" s="80">
        <f t="shared" si="19"/>
        <v>-0.030920098374683014</v>
      </c>
    </row>
    <row r="44" spans="1:21" ht="12.75">
      <c r="A44" s="75">
        <v>39</v>
      </c>
      <c r="B44" s="75">
        <f t="shared" si="3"/>
        <v>3.25</v>
      </c>
      <c r="C44">
        <f t="shared" si="0"/>
        <v>0.7225273536420722</v>
      </c>
      <c r="D44">
        <f t="shared" si="1"/>
        <v>0.7254203756539594</v>
      </c>
      <c r="E44">
        <f t="shared" si="4"/>
        <v>0.7336244099746884</v>
      </c>
      <c r="F44" s="45">
        <f t="shared" si="5"/>
        <v>0.7329900496600757</v>
      </c>
      <c r="G44" s="79">
        <f t="shared" si="6"/>
        <v>0.7547169811320755</v>
      </c>
      <c r="H44" s="75">
        <f t="shared" si="7"/>
        <v>0.675</v>
      </c>
      <c r="I44">
        <f t="shared" si="2"/>
        <v>1.3840306459807514</v>
      </c>
      <c r="J44">
        <f t="shared" si="8"/>
        <v>1.378511044852455</v>
      </c>
      <c r="K44">
        <f t="shared" si="9"/>
        <v>1.363095320171397</v>
      </c>
      <c r="L44">
        <f t="shared" si="10"/>
        <v>1.3642750000000001</v>
      </c>
      <c r="M44" s="75">
        <f t="shared" si="11"/>
        <v>1.325</v>
      </c>
      <c r="N44">
        <f t="shared" si="12"/>
        <v>-0.0028930220118872363</v>
      </c>
      <c r="O44">
        <f t="shared" si="13"/>
        <v>-0.011097056332616151</v>
      </c>
      <c r="P44">
        <f t="shared" si="14"/>
        <v>-0.010462696018003537</v>
      </c>
      <c r="Q44" s="80">
        <f t="shared" si="15"/>
        <v>-0.0006343603146126142</v>
      </c>
      <c r="R44" s="80">
        <f t="shared" si="16"/>
        <v>-0.0075696740061163</v>
      </c>
      <c r="S44" s="80">
        <f t="shared" si="17"/>
        <v>-0.008204034320728915</v>
      </c>
      <c r="T44" s="80">
        <f t="shared" si="18"/>
        <v>-0.021726931471999777</v>
      </c>
      <c r="U44" s="80">
        <f t="shared" si="19"/>
        <v>-0.032189627490003314</v>
      </c>
    </row>
    <row r="45" spans="1:21" ht="12.75">
      <c r="A45" s="75">
        <v>40</v>
      </c>
      <c r="B45" s="75">
        <f t="shared" si="3"/>
        <v>3.333333333333333</v>
      </c>
      <c r="C45">
        <f t="shared" si="0"/>
        <v>0.7165313105737893</v>
      </c>
      <c r="D45">
        <f t="shared" si="1"/>
        <v>0.7194740395531244</v>
      </c>
      <c r="E45">
        <f t="shared" si="4"/>
        <v>0.7278206657787107</v>
      </c>
      <c r="F45" s="45">
        <f t="shared" si="5"/>
        <v>0.7270788395821719</v>
      </c>
      <c r="G45" s="79">
        <f t="shared" si="6"/>
        <v>0.75</v>
      </c>
      <c r="H45" s="75">
        <f t="shared" si="7"/>
        <v>0.6666666666666667</v>
      </c>
      <c r="I45">
        <f t="shared" si="2"/>
        <v>1.3956124250860895</v>
      </c>
      <c r="J45">
        <f t="shared" si="8"/>
        <v>1.3899042147804448</v>
      </c>
      <c r="K45">
        <f t="shared" si="9"/>
        <v>1.373964833672425</v>
      </c>
      <c r="L45">
        <f t="shared" si="10"/>
        <v>1.3753666666666668</v>
      </c>
      <c r="M45" s="75">
        <f t="shared" si="11"/>
        <v>1.3333333333333333</v>
      </c>
      <c r="N45">
        <f t="shared" si="12"/>
        <v>-0.0029427289793351186</v>
      </c>
      <c r="O45">
        <f t="shared" si="13"/>
        <v>-0.01128935520492147</v>
      </c>
      <c r="P45">
        <f t="shared" si="14"/>
        <v>-0.010547529008382628</v>
      </c>
      <c r="Q45" s="80">
        <f t="shared" si="15"/>
        <v>-0.0007418261965388417</v>
      </c>
      <c r="R45" s="80">
        <f t="shared" si="16"/>
        <v>-0.007604800029047509</v>
      </c>
      <c r="S45" s="80">
        <f t="shared" si="17"/>
        <v>-0.008346626225586351</v>
      </c>
      <c r="T45" s="80">
        <f t="shared" si="18"/>
        <v>-0.0229211604178281</v>
      </c>
      <c r="U45" s="80">
        <f t="shared" si="19"/>
        <v>-0.03346868942621073</v>
      </c>
    </row>
    <row r="46" spans="1:21" ht="12.75">
      <c r="A46" s="75">
        <v>41</v>
      </c>
      <c r="B46" s="75">
        <f t="shared" si="3"/>
        <v>3.4166666666666665</v>
      </c>
      <c r="C46">
        <f t="shared" si="0"/>
        <v>0.7105850269122547</v>
      </c>
      <c r="D46">
        <f t="shared" si="1"/>
        <v>0.7135764461044267</v>
      </c>
      <c r="E46">
        <f t="shared" si="4"/>
        <v>0.7220628353312867</v>
      </c>
      <c r="F46" s="45">
        <f t="shared" si="5"/>
        <v>0.7212622088655144</v>
      </c>
      <c r="G46" s="79">
        <f t="shared" si="6"/>
        <v>0.7453416149068323</v>
      </c>
      <c r="H46" s="75">
        <f t="shared" si="7"/>
        <v>0.6583333333333333</v>
      </c>
      <c r="I46">
        <f t="shared" si="2"/>
        <v>1.407291122281814</v>
      </c>
      <c r="J46">
        <f t="shared" si="8"/>
        <v>1.4013915474077423</v>
      </c>
      <c r="K46">
        <f t="shared" si="9"/>
        <v>1.3849210222005044</v>
      </c>
      <c r="L46">
        <f t="shared" si="10"/>
        <v>1.3864583333333338</v>
      </c>
      <c r="M46" s="75">
        <f t="shared" si="11"/>
        <v>1.3416666666666668</v>
      </c>
      <c r="N46">
        <f t="shared" si="12"/>
        <v>-0.002991419192172051</v>
      </c>
      <c r="O46">
        <f t="shared" si="13"/>
        <v>-0.01147780841903201</v>
      </c>
      <c r="P46">
        <f t="shared" si="14"/>
        <v>-0.010677181953259729</v>
      </c>
      <c r="Q46" s="80">
        <f t="shared" si="15"/>
        <v>-0.0008006264657722806</v>
      </c>
      <c r="R46" s="80">
        <f t="shared" si="16"/>
        <v>-0.007685762761087678</v>
      </c>
      <c r="S46" s="80">
        <f t="shared" si="17"/>
        <v>-0.008486389226859958</v>
      </c>
      <c r="T46" s="80">
        <f t="shared" si="18"/>
        <v>-0.024079406041317863</v>
      </c>
      <c r="U46" s="80">
        <f t="shared" si="19"/>
        <v>-0.03475658799457759</v>
      </c>
    </row>
    <row r="47" spans="1:21" ht="12.75">
      <c r="A47" s="75">
        <v>42</v>
      </c>
      <c r="B47" s="75">
        <f t="shared" si="3"/>
        <v>3.5</v>
      </c>
      <c r="C47">
        <f t="shared" si="0"/>
        <v>0.7046880897187134</v>
      </c>
      <c r="D47">
        <f t="shared" si="1"/>
        <v>0.7077271957599606</v>
      </c>
      <c r="E47">
        <f t="shared" si="4"/>
        <v>0.7163505554061549</v>
      </c>
      <c r="F47" s="45">
        <f t="shared" si="5"/>
        <v>0.71553790562055</v>
      </c>
      <c r="G47" s="79">
        <f t="shared" si="6"/>
        <v>0.7407407407407407</v>
      </c>
      <c r="H47" s="75">
        <f t="shared" si="7"/>
        <v>0.6499999999999999</v>
      </c>
      <c r="I47">
        <f t="shared" si="2"/>
        <v>1.4190675485932573</v>
      </c>
      <c r="J47">
        <f t="shared" si="8"/>
        <v>1.4129738209737661</v>
      </c>
      <c r="K47">
        <f t="shared" si="9"/>
        <v>1.395964576914472</v>
      </c>
      <c r="L47">
        <f t="shared" si="10"/>
        <v>1.3975500000000005</v>
      </c>
      <c r="M47" s="75">
        <f t="shared" si="11"/>
        <v>1.35</v>
      </c>
      <c r="N47">
        <f t="shared" si="12"/>
        <v>-0.0030391060412471305</v>
      </c>
      <c r="O47">
        <f t="shared" si="13"/>
        <v>-0.011662465687441448</v>
      </c>
      <c r="P47">
        <f t="shared" si="14"/>
        <v>-0.010849815901836535</v>
      </c>
      <c r="Q47" s="80">
        <f t="shared" si="15"/>
        <v>-0.0008126497856049131</v>
      </c>
      <c r="R47" s="80">
        <f t="shared" si="16"/>
        <v>-0.007810709860589404</v>
      </c>
      <c r="S47" s="80">
        <f t="shared" si="17"/>
        <v>-0.008623359646194317</v>
      </c>
      <c r="T47" s="80">
        <f t="shared" si="18"/>
        <v>-0.025202835120190725</v>
      </c>
      <c r="U47" s="80">
        <f t="shared" si="19"/>
        <v>-0.03605265102202726</v>
      </c>
    </row>
    <row r="48" spans="1:21" ht="12.75">
      <c r="A48" s="75">
        <v>43</v>
      </c>
      <c r="B48" s="75">
        <f t="shared" si="3"/>
        <v>3.583333333333333</v>
      </c>
      <c r="C48">
        <f t="shared" si="0"/>
        <v>0.6988400894812683</v>
      </c>
      <c r="D48">
        <f t="shared" si="1"/>
        <v>0.7019258922469508</v>
      </c>
      <c r="E48">
        <f t="shared" si="4"/>
        <v>0.7106834656505573</v>
      </c>
      <c r="F48" s="45">
        <f t="shared" si="5"/>
        <v>0.7099037488833804</v>
      </c>
      <c r="G48" s="79">
        <f t="shared" si="6"/>
        <v>0.7361963190184049</v>
      </c>
      <c r="H48" s="75">
        <f t="shared" si="7"/>
        <v>0.6416666666666666</v>
      </c>
      <c r="I48">
        <f t="shared" si="2"/>
        <v>1.4309425218325342</v>
      </c>
      <c r="J48">
        <f t="shared" si="8"/>
        <v>1.4246518201499556</v>
      </c>
      <c r="K48">
        <f t="shared" si="9"/>
        <v>1.4070961944845632</v>
      </c>
      <c r="L48">
        <f t="shared" si="10"/>
        <v>1.408641666666667</v>
      </c>
      <c r="M48" s="75">
        <f t="shared" si="11"/>
        <v>1.3583333333333334</v>
      </c>
      <c r="N48">
        <f t="shared" si="12"/>
        <v>-0.0030858027656824882</v>
      </c>
      <c r="O48">
        <f t="shared" si="13"/>
        <v>-0.011843376169288988</v>
      </c>
      <c r="P48">
        <f t="shared" si="14"/>
        <v>-0.01106365940211207</v>
      </c>
      <c r="Q48" s="80">
        <f t="shared" si="15"/>
        <v>-0.000779716767176919</v>
      </c>
      <c r="R48" s="80">
        <f t="shared" si="16"/>
        <v>-0.007977856636429581</v>
      </c>
      <c r="S48" s="80">
        <f t="shared" si="17"/>
        <v>-0.0087575734036065</v>
      </c>
      <c r="T48" s="80">
        <f t="shared" si="18"/>
        <v>-0.026292570135024507</v>
      </c>
      <c r="U48" s="80">
        <f t="shared" si="19"/>
        <v>-0.037356229537136576</v>
      </c>
    </row>
    <row r="49" spans="1:21" ht="12.75">
      <c r="A49" s="75">
        <v>44</v>
      </c>
      <c r="B49" s="75">
        <f t="shared" si="3"/>
        <v>3.6666666666666665</v>
      </c>
      <c r="C49">
        <f t="shared" si="0"/>
        <v>0.6930406200864415</v>
      </c>
      <c r="D49">
        <f t="shared" si="1"/>
        <v>0.6961721425409042</v>
      </c>
      <c r="E49">
        <f t="shared" si="4"/>
        <v>0.7050612085625072</v>
      </c>
      <c r="F49" s="45">
        <f t="shared" si="5"/>
        <v>0.704357625845229</v>
      </c>
      <c r="G49" s="79">
        <f t="shared" si="6"/>
        <v>0.7317073170731707</v>
      </c>
      <c r="H49" s="75">
        <f t="shared" si="7"/>
        <v>0.6333333333333333</v>
      </c>
      <c r="I49">
        <f t="shared" si="2"/>
        <v>1.442916866655337</v>
      </c>
      <c r="J49">
        <f t="shared" si="8"/>
        <v>1.4364263360929357</v>
      </c>
      <c r="K49">
        <f t="shared" si="9"/>
        <v>1.4183165771363593</v>
      </c>
      <c r="L49">
        <f t="shared" si="10"/>
        <v>1.4197333333333337</v>
      </c>
      <c r="M49" s="75">
        <f t="shared" si="11"/>
        <v>1.3666666666666667</v>
      </c>
      <c r="N49">
        <f t="shared" si="12"/>
        <v>-0.0031315224544626874</v>
      </c>
      <c r="O49">
        <f t="shared" si="13"/>
        <v>-0.012020588476065686</v>
      </c>
      <c r="P49">
        <f t="shared" si="14"/>
        <v>-0.011317005758787468</v>
      </c>
      <c r="Q49" s="80">
        <f t="shared" si="15"/>
        <v>-0.0007035827172782172</v>
      </c>
      <c r="R49" s="80">
        <f t="shared" si="16"/>
        <v>-0.008185483304324781</v>
      </c>
      <c r="S49" s="80">
        <f t="shared" si="17"/>
        <v>-0.008889066021602998</v>
      </c>
      <c r="T49" s="80">
        <f t="shared" si="18"/>
        <v>-0.02734969122794173</v>
      </c>
      <c r="U49" s="80">
        <f t="shared" si="19"/>
        <v>-0.0386666969867292</v>
      </c>
    </row>
    <row r="50" spans="1:21" ht="12.75">
      <c r="A50" s="75">
        <v>45</v>
      </c>
      <c r="B50" s="75">
        <f t="shared" si="3"/>
        <v>3.75</v>
      </c>
      <c r="C50">
        <f t="shared" si="0"/>
        <v>0.6872892787909722</v>
      </c>
      <c r="D50">
        <f t="shared" si="1"/>
        <v>0.6904655568389858</v>
      </c>
      <c r="E50">
        <f t="shared" si="4"/>
        <v>0.6994834294682364</v>
      </c>
      <c r="F50" s="45">
        <f t="shared" si="5"/>
        <v>0.6988974892107698</v>
      </c>
      <c r="G50" s="79">
        <f t="shared" si="6"/>
        <v>0.7272727272727273</v>
      </c>
      <c r="H50" s="75">
        <f t="shared" si="7"/>
        <v>0.625</v>
      </c>
      <c r="I50">
        <f t="shared" si="2"/>
        <v>1.4549914146182013</v>
      </c>
      <c r="J50">
        <f t="shared" si="8"/>
        <v>1.4482981664981105</v>
      </c>
      <c r="K50">
        <f t="shared" si="9"/>
        <v>1.4296264326950867</v>
      </c>
      <c r="L50">
        <f t="shared" si="10"/>
        <v>1.4308250000000005</v>
      </c>
      <c r="M50" s="75">
        <f t="shared" si="11"/>
        <v>1.375</v>
      </c>
      <c r="N50">
        <f t="shared" si="12"/>
        <v>-0.00317627804801357</v>
      </c>
      <c r="O50">
        <f t="shared" si="13"/>
        <v>-0.012194150677264148</v>
      </c>
      <c r="P50">
        <f t="shared" si="14"/>
        <v>-0.011608210419797538</v>
      </c>
      <c r="Q50" s="80">
        <f t="shared" si="15"/>
        <v>-0.0005859402574666106</v>
      </c>
      <c r="R50" s="80">
        <f t="shared" si="16"/>
        <v>-0.008431932371783968</v>
      </c>
      <c r="S50" s="80">
        <f t="shared" si="17"/>
        <v>-0.009017872629250578</v>
      </c>
      <c r="T50" s="80">
        <f t="shared" si="18"/>
        <v>-0.02837523806195752</v>
      </c>
      <c r="U50" s="80">
        <f t="shared" si="19"/>
        <v>-0.03998344848175506</v>
      </c>
    </row>
    <row r="51" spans="1:21" ht="12.75">
      <c r="A51" s="75">
        <v>46</v>
      </c>
      <c r="B51" s="75">
        <f t="shared" si="3"/>
        <v>3.833333333333333</v>
      </c>
      <c r="C51">
        <f t="shared" si="0"/>
        <v>0.681585666193848</v>
      </c>
      <c r="D51">
        <f t="shared" si="1"/>
        <v>0.6848057485336105</v>
      </c>
      <c r="E51">
        <f t="shared" si="4"/>
        <v>0.6939497764998205</v>
      </c>
      <c r="F51" s="45">
        <f t="shared" si="5"/>
        <v>0.6935213546783793</v>
      </c>
      <c r="G51" s="79">
        <f t="shared" si="6"/>
        <v>0.7228915662650602</v>
      </c>
      <c r="H51" s="75">
        <f t="shared" si="7"/>
        <v>0.6166666666666667</v>
      </c>
      <c r="I51">
        <f t="shared" si="2"/>
        <v>1.467167004236255</v>
      </c>
      <c r="J51">
        <f t="shared" si="8"/>
        <v>1.4602681156537043</v>
      </c>
      <c r="K51">
        <f t="shared" si="9"/>
        <v>1.44102647463027</v>
      </c>
      <c r="L51">
        <f t="shared" si="10"/>
        <v>1.4419166666666672</v>
      </c>
      <c r="M51" s="75">
        <f t="shared" si="11"/>
        <v>1.3833333333333333</v>
      </c>
      <c r="N51">
        <f t="shared" si="12"/>
        <v>-0.0032200823397625644</v>
      </c>
      <c r="O51">
        <f t="shared" si="13"/>
        <v>-0.012364110305972509</v>
      </c>
      <c r="P51">
        <f t="shared" si="14"/>
        <v>-0.011935688484531304</v>
      </c>
      <c r="Q51" s="80">
        <f t="shared" si="15"/>
        <v>-0.000428421821441205</v>
      </c>
      <c r="R51" s="80">
        <f t="shared" si="16"/>
        <v>-0.00871560614476874</v>
      </c>
      <c r="S51" s="80">
        <f t="shared" si="17"/>
        <v>-0.009144027966209944</v>
      </c>
      <c r="T51" s="80">
        <f t="shared" si="18"/>
        <v>-0.02937021158668096</v>
      </c>
      <c r="U51" s="80">
        <f t="shared" si="19"/>
        <v>-0.041305900071212265</v>
      </c>
    </row>
    <row r="52" spans="1:21" ht="12.75">
      <c r="A52" s="75">
        <v>47</v>
      </c>
      <c r="B52" s="75">
        <f t="shared" si="3"/>
        <v>3.9166666666666665</v>
      </c>
      <c r="C52">
        <f t="shared" si="0"/>
        <v>0.6759293862085685</v>
      </c>
      <c r="D52">
        <f t="shared" si="1"/>
        <v>0.6791923341862481</v>
      </c>
      <c r="E52">
        <f t="shared" si="4"/>
        <v>0.6884599005729823</v>
      </c>
      <c r="F52" s="45">
        <f t="shared" si="5"/>
        <v>0.6882272985357962</v>
      </c>
      <c r="G52" s="79">
        <f t="shared" si="6"/>
        <v>0.718562874251497</v>
      </c>
      <c r="H52" s="75">
        <f t="shared" si="7"/>
        <v>0.6083333333333334</v>
      </c>
      <c r="I52">
        <f t="shared" si="2"/>
        <v>1.479444481041448</v>
      </c>
      <c r="J52">
        <f t="shared" si="8"/>
        <v>1.472336994495259</v>
      </c>
      <c r="K52">
        <f t="shared" si="9"/>
        <v>1.45251742210074</v>
      </c>
      <c r="L52">
        <f t="shared" si="10"/>
        <v>1.4530083333333337</v>
      </c>
      <c r="M52" s="75">
        <f t="shared" si="11"/>
        <v>1.3916666666666666</v>
      </c>
      <c r="N52">
        <f t="shared" si="12"/>
        <v>-0.0032629479776796755</v>
      </c>
      <c r="O52">
        <f t="shared" si="13"/>
        <v>-0.01253051436441388</v>
      </c>
      <c r="P52">
        <f t="shared" si="14"/>
        <v>-0.012297912327227767</v>
      </c>
      <c r="Q52" s="80">
        <f t="shared" si="15"/>
        <v>-0.00023260203718611372</v>
      </c>
      <c r="R52" s="80">
        <f t="shared" si="16"/>
        <v>-0.009034964349548091</v>
      </c>
      <c r="S52" s="80">
        <f t="shared" si="17"/>
        <v>-0.009267566386734205</v>
      </c>
      <c r="T52" s="80">
        <f t="shared" si="18"/>
        <v>-0.03033557571570078</v>
      </c>
      <c r="U52" s="80">
        <f t="shared" si="19"/>
        <v>-0.04263348804292855</v>
      </c>
    </row>
    <row r="53" spans="1:21" ht="12.75">
      <c r="A53" s="75">
        <v>48</v>
      </c>
      <c r="B53" s="75">
        <f t="shared" si="3"/>
        <v>4</v>
      </c>
      <c r="C53">
        <f t="shared" si="0"/>
        <v>0.6703200460356393</v>
      </c>
      <c r="D53">
        <f t="shared" si="1"/>
        <v>0.6736249335014496</v>
      </c>
      <c r="E53">
        <f t="shared" si="4"/>
        <v>0.6830134553650705</v>
      </c>
      <c r="F53" s="45">
        <f t="shared" si="5"/>
        <v>0.6830134553650705</v>
      </c>
      <c r="G53" s="79">
        <f t="shared" si="6"/>
        <v>0.7142857142857143</v>
      </c>
      <c r="H53" s="75">
        <f t="shared" si="7"/>
        <v>0.6</v>
      </c>
      <c r="I53">
        <f t="shared" si="2"/>
        <v>1.4918246976412703</v>
      </c>
      <c r="J53">
        <f t="shared" si="8"/>
        <v>1.4845056206605631</v>
      </c>
      <c r="K53">
        <f t="shared" si="9"/>
        <v>1.4641000000000004</v>
      </c>
      <c r="L53">
        <f t="shared" si="10"/>
        <v>1.4641000000000004</v>
      </c>
      <c r="M53" s="75">
        <f t="shared" si="11"/>
        <v>1.4</v>
      </c>
      <c r="N53">
        <f t="shared" si="12"/>
        <v>-0.003304887465810258</v>
      </c>
      <c r="O53">
        <f t="shared" si="13"/>
        <v>-0.012693409329431193</v>
      </c>
      <c r="P53">
        <f t="shared" si="14"/>
        <v>-0.012693409329431193</v>
      </c>
      <c r="Q53" s="80">
        <f t="shared" si="15"/>
        <v>0</v>
      </c>
      <c r="R53" s="80">
        <f t="shared" si="16"/>
        <v>-0.009388521863620936</v>
      </c>
      <c r="S53" s="80">
        <f t="shared" si="17"/>
        <v>-0.009388521863620936</v>
      </c>
      <c r="T53" s="80">
        <f t="shared" si="18"/>
        <v>-0.03127225892064378</v>
      </c>
      <c r="U53" s="80">
        <f t="shared" si="19"/>
        <v>-0.043965668250074974</v>
      </c>
    </row>
    <row r="54" spans="1:21" ht="12.75">
      <c r="A54" s="75">
        <v>49</v>
      </c>
      <c r="B54" s="75">
        <f t="shared" si="3"/>
        <v>4.083333333333333</v>
      </c>
      <c r="C54">
        <f t="shared" si="0"/>
        <v>0.6647572561352943</v>
      </c>
      <c r="D54">
        <f t="shared" si="1"/>
        <v>0.6681031693010835</v>
      </c>
      <c r="E54">
        <f t="shared" si="4"/>
        <v>0.6776100972932113</v>
      </c>
      <c r="F54" s="45">
        <f t="shared" si="5"/>
        <v>0.6773687160645327</v>
      </c>
      <c r="G54" s="79">
        <f t="shared" si="6"/>
        <v>0.7100591715976332</v>
      </c>
      <c r="H54" s="75">
        <f t="shared" si="7"/>
        <v>0.5916666666666667</v>
      </c>
      <c r="I54">
        <f t="shared" si="2"/>
        <v>1.504308513777961</v>
      </c>
      <c r="J54">
        <f t="shared" si="8"/>
        <v>1.496774818545047</v>
      </c>
      <c r="K54">
        <f t="shared" si="9"/>
        <v>1.4757749390019583</v>
      </c>
      <c r="L54">
        <f t="shared" si="10"/>
        <v>1.4763008333333336</v>
      </c>
      <c r="M54" s="75">
        <f t="shared" si="11"/>
        <v>1.4083333333333332</v>
      </c>
      <c r="N54">
        <f t="shared" si="12"/>
        <v>-0.0033459131657891383</v>
      </c>
      <c r="O54">
        <f t="shared" si="13"/>
        <v>-0.012852841157916961</v>
      </c>
      <c r="P54">
        <f t="shared" si="14"/>
        <v>-0.0126114599292384</v>
      </c>
      <c r="Q54" s="80">
        <f t="shared" si="15"/>
        <v>-0.00024138122867856104</v>
      </c>
      <c r="R54" s="80">
        <f t="shared" si="16"/>
        <v>-0.009265546763449262</v>
      </c>
      <c r="S54" s="80">
        <f t="shared" si="17"/>
        <v>-0.009506927992127823</v>
      </c>
      <c r="T54" s="80">
        <f t="shared" si="18"/>
        <v>-0.03269045553310046</v>
      </c>
      <c r="U54" s="80">
        <f t="shared" si="19"/>
        <v>-0.04530191546233886</v>
      </c>
    </row>
    <row r="55" spans="1:21" ht="12.75">
      <c r="A55" s="75">
        <v>50</v>
      </c>
      <c r="B55" s="75">
        <f t="shared" si="3"/>
        <v>4.166666666666666</v>
      </c>
      <c r="C55">
        <f t="shared" si="0"/>
        <v>0.6592406302004438</v>
      </c>
      <c r="D55">
        <f t="shared" si="1"/>
        <v>0.6626266674987787</v>
      </c>
      <c r="E55">
        <f t="shared" si="4"/>
        <v>0.6722494854926347</v>
      </c>
      <c r="F55" s="45">
        <f t="shared" si="5"/>
        <v>0.67181651347384</v>
      </c>
      <c r="G55" s="79">
        <f t="shared" si="6"/>
        <v>0.7058823529411765</v>
      </c>
      <c r="H55" s="75">
        <f t="shared" si="7"/>
        <v>0.5833333333333334</v>
      </c>
      <c r="I55">
        <f t="shared" si="2"/>
        <v>1.5168967963882134</v>
      </c>
      <c r="J55">
        <f t="shared" si="8"/>
        <v>1.5091454193576401</v>
      </c>
      <c r="K55">
        <f t="shared" si="9"/>
        <v>1.4875429756070169</v>
      </c>
      <c r="L55">
        <f t="shared" si="10"/>
        <v>1.4885016666666668</v>
      </c>
      <c r="M55" s="75">
        <f t="shared" si="11"/>
        <v>1.4166666666666665</v>
      </c>
      <c r="N55">
        <f t="shared" si="12"/>
        <v>-0.0033860372983349762</v>
      </c>
      <c r="O55">
        <f t="shared" si="13"/>
        <v>-0.01300885529219098</v>
      </c>
      <c r="P55">
        <f t="shared" si="14"/>
        <v>-0.012575883273396204</v>
      </c>
      <c r="Q55" s="80">
        <f t="shared" si="15"/>
        <v>-0.000432972018794775</v>
      </c>
      <c r="R55" s="80">
        <f t="shared" si="16"/>
        <v>-0.009189845975061228</v>
      </c>
      <c r="S55" s="80">
        <f t="shared" si="17"/>
        <v>-0.009622817993856003</v>
      </c>
      <c r="T55" s="80">
        <f t="shared" si="18"/>
        <v>-0.034065839467336545</v>
      </c>
      <c r="U55" s="80">
        <f t="shared" si="19"/>
        <v>-0.04664172274073275</v>
      </c>
    </row>
    <row r="56" spans="1:21" ht="12.75">
      <c r="A56" s="75">
        <v>51</v>
      </c>
      <c r="B56" s="75">
        <f t="shared" si="3"/>
        <v>4.25</v>
      </c>
      <c r="C56">
        <f t="shared" si="0"/>
        <v>0.6537697851298473</v>
      </c>
      <c r="D56">
        <f t="shared" si="1"/>
        <v>0.657195057074585</v>
      </c>
      <c r="E56">
        <f t="shared" si="4"/>
        <v>0.6669312817951712</v>
      </c>
      <c r="F56" s="45">
        <f t="shared" si="5"/>
        <v>0.6663545906000689</v>
      </c>
      <c r="G56" s="79">
        <f t="shared" si="6"/>
        <v>0.7017543859649122</v>
      </c>
      <c r="H56" s="75">
        <f t="shared" si="7"/>
        <v>0.575</v>
      </c>
      <c r="I56">
        <f t="shared" si="2"/>
        <v>1.5295904196633787</v>
      </c>
      <c r="J56">
        <f t="shared" si="8"/>
        <v>1.521618261177077</v>
      </c>
      <c r="K56">
        <f t="shared" si="9"/>
        <v>1.4994048521885366</v>
      </c>
      <c r="L56">
        <f t="shared" si="10"/>
        <v>1.5007025000000003</v>
      </c>
      <c r="M56" s="75">
        <f t="shared" si="11"/>
        <v>1.425</v>
      </c>
      <c r="N56">
        <f t="shared" si="12"/>
        <v>-0.00342527194473774</v>
      </c>
      <c r="O56">
        <f t="shared" si="13"/>
        <v>-0.013161496665323957</v>
      </c>
      <c r="P56">
        <f t="shared" si="14"/>
        <v>-0.01258480547022156</v>
      </c>
      <c r="Q56" s="80">
        <f t="shared" si="15"/>
        <v>-0.0005766911951023967</v>
      </c>
      <c r="R56" s="80">
        <f t="shared" si="16"/>
        <v>-0.00915953352548382</v>
      </c>
      <c r="S56" s="80">
        <f t="shared" si="17"/>
        <v>-0.009736224720586217</v>
      </c>
      <c r="T56" s="80">
        <f t="shared" si="18"/>
        <v>-0.03539979536484339</v>
      </c>
      <c r="U56" s="80">
        <f t="shared" si="19"/>
        <v>-0.04798460083506495</v>
      </c>
    </row>
    <row r="57" spans="1:21" ht="12.75">
      <c r="A57" s="75">
        <v>52</v>
      </c>
      <c r="B57" s="75">
        <f t="shared" si="3"/>
        <v>4.333333333333333</v>
      </c>
      <c r="C57">
        <f t="shared" si="0"/>
        <v>0.6483443410015097</v>
      </c>
      <c r="D57">
        <f t="shared" si="1"/>
        <v>0.6518079700498376</v>
      </c>
      <c r="E57">
        <f t="shared" si="4"/>
        <v>0.6616551507079189</v>
      </c>
      <c r="F57" s="45">
        <f t="shared" si="5"/>
        <v>0.66098076325652</v>
      </c>
      <c r="G57" s="79">
        <f t="shared" si="6"/>
        <v>0.6976744186046512</v>
      </c>
      <c r="H57" s="75">
        <f t="shared" si="7"/>
        <v>0.5666666666666667</v>
      </c>
      <c r="I57">
        <f t="shared" si="2"/>
        <v>1.5423902651101746</v>
      </c>
      <c r="J57">
        <f t="shared" si="8"/>
        <v>1.534194189008673</v>
      </c>
      <c r="K57">
        <f t="shared" si="9"/>
        <v>1.5113613170396674</v>
      </c>
      <c r="L57">
        <f t="shared" si="10"/>
        <v>1.5129033333333335</v>
      </c>
      <c r="M57" s="75">
        <f t="shared" si="11"/>
        <v>1.4333333333333333</v>
      </c>
      <c r="N57">
        <f t="shared" si="12"/>
        <v>-0.0034636290483278653</v>
      </c>
      <c r="O57">
        <f t="shared" si="13"/>
        <v>-0.013310809706409188</v>
      </c>
      <c r="P57">
        <f t="shared" si="14"/>
        <v>-0.012636422255010271</v>
      </c>
      <c r="Q57" s="80">
        <f t="shared" si="15"/>
        <v>-0.0006743874513989168</v>
      </c>
      <c r="R57" s="80">
        <f t="shared" si="16"/>
        <v>-0.009172793206682406</v>
      </c>
      <c r="S57" s="80">
        <f t="shared" si="17"/>
        <v>-0.009847180658081323</v>
      </c>
      <c r="T57" s="80">
        <f t="shared" si="18"/>
        <v>-0.03669365534813118</v>
      </c>
      <c r="U57" s="80">
        <f t="shared" si="19"/>
        <v>-0.04933007760314145</v>
      </c>
    </row>
    <row r="58" spans="1:21" ht="12.75">
      <c r="A58" s="75">
        <v>53</v>
      </c>
      <c r="B58" s="75">
        <f t="shared" si="3"/>
        <v>4.416666666666666</v>
      </c>
      <c r="C58">
        <f t="shared" si="0"/>
        <v>0.6429639210462974</v>
      </c>
      <c r="D58">
        <f t="shared" si="1"/>
        <v>0.6464650414622232</v>
      </c>
      <c r="E58">
        <f t="shared" si="4"/>
        <v>0.6564207593920788</v>
      </c>
      <c r="F58" s="45">
        <f t="shared" si="5"/>
        <v>0.6556929171504678</v>
      </c>
      <c r="G58" s="79">
        <f t="shared" si="6"/>
        <v>0.6936416184971098</v>
      </c>
      <c r="H58" s="75">
        <f t="shared" si="7"/>
        <v>0.5583333333333333</v>
      </c>
      <c r="I58">
        <f t="shared" si="2"/>
        <v>1.555297221611901</v>
      </c>
      <c r="J58">
        <f t="shared" si="8"/>
        <v>1.5468740548415811</v>
      </c>
      <c r="K58">
        <f t="shared" si="9"/>
        <v>1.5234131244205549</v>
      </c>
      <c r="L58">
        <f t="shared" si="10"/>
        <v>1.5251041666666667</v>
      </c>
      <c r="M58" s="75">
        <f t="shared" si="11"/>
        <v>1.4416666666666667</v>
      </c>
      <c r="N58">
        <f t="shared" si="12"/>
        <v>-0.0035011204159257625</v>
      </c>
      <c r="O58">
        <f t="shared" si="13"/>
        <v>-0.013456838345781374</v>
      </c>
      <c r="P58">
        <f t="shared" si="14"/>
        <v>-0.012728996104170442</v>
      </c>
      <c r="Q58" s="80">
        <f t="shared" si="15"/>
        <v>-0.000727842241610932</v>
      </c>
      <c r="R58" s="80">
        <f t="shared" si="16"/>
        <v>-0.00922787568824468</v>
      </c>
      <c r="S58" s="80">
        <f t="shared" si="17"/>
        <v>-0.009955717929855612</v>
      </c>
      <c r="T58" s="80">
        <f t="shared" si="18"/>
        <v>-0.037948701346641966</v>
      </c>
      <c r="U58" s="80">
        <f t="shared" si="19"/>
        <v>-0.05067769745081241</v>
      </c>
    </row>
    <row r="59" spans="1:21" ht="12.75">
      <c r="A59" s="75">
        <v>54</v>
      </c>
      <c r="B59" s="75">
        <f t="shared" si="3"/>
        <v>4.5</v>
      </c>
      <c r="C59">
        <f t="shared" si="0"/>
        <v>0.6376281516217733</v>
      </c>
      <c r="D59">
        <f t="shared" si="1"/>
        <v>0.6411659093410585</v>
      </c>
      <c r="E59">
        <f t="shared" si="4"/>
        <v>0.6512277776419588</v>
      </c>
      <c r="F59" s="45">
        <f t="shared" si="5"/>
        <v>0.650489005109591</v>
      </c>
      <c r="G59" s="79">
        <f t="shared" si="6"/>
        <v>0.6896551724137931</v>
      </c>
      <c r="H59" s="75">
        <f t="shared" si="7"/>
        <v>0.55</v>
      </c>
      <c r="I59">
        <f t="shared" si="2"/>
        <v>1.5683121854901687</v>
      </c>
      <c r="J59">
        <f t="shared" si="8"/>
        <v>1.559658717706504</v>
      </c>
      <c r="K59">
        <f t="shared" si="9"/>
        <v>1.5355610346059194</v>
      </c>
      <c r="L59">
        <f t="shared" si="10"/>
        <v>1.5373050000000004</v>
      </c>
      <c r="M59" s="75">
        <f t="shared" si="11"/>
        <v>1.45</v>
      </c>
      <c r="N59">
        <f t="shared" si="12"/>
        <v>-0.003537757719285217</v>
      </c>
      <c r="O59">
        <f t="shared" si="13"/>
        <v>-0.013599626020185496</v>
      </c>
      <c r="P59">
        <f t="shared" si="14"/>
        <v>-0.012860853487817625</v>
      </c>
      <c r="Q59" s="80">
        <f t="shared" si="15"/>
        <v>-0.0007387725323678707</v>
      </c>
      <c r="R59" s="80">
        <f t="shared" si="16"/>
        <v>-0.009323095768532408</v>
      </c>
      <c r="S59" s="80">
        <f t="shared" si="17"/>
        <v>-0.010061868300900279</v>
      </c>
      <c r="T59" s="80">
        <f t="shared" si="18"/>
        <v>-0.03916616730420219</v>
      </c>
      <c r="U59" s="80">
        <f t="shared" si="19"/>
        <v>-0.05202702079201982</v>
      </c>
    </row>
    <row r="60" spans="1:21" ht="12.75">
      <c r="A60" s="75">
        <v>55</v>
      </c>
      <c r="B60" s="75">
        <f t="shared" si="3"/>
        <v>4.583333333333333</v>
      </c>
      <c r="C60">
        <f t="shared" si="0"/>
        <v>0.6323366621862497</v>
      </c>
      <c r="D60">
        <f t="shared" si="1"/>
        <v>0.6359102146827684</v>
      </c>
      <c r="E60">
        <f t="shared" si="4"/>
        <v>0.6460758778641429</v>
      </c>
      <c r="F60" s="45">
        <f t="shared" si="5"/>
        <v>0.6453670444394367</v>
      </c>
      <c r="G60" s="79">
        <f t="shared" si="6"/>
        <v>0.6857142857142857</v>
      </c>
      <c r="H60" s="75">
        <f t="shared" si="7"/>
        <v>0.5416666666666667</v>
      </c>
      <c r="I60">
        <f t="shared" si="2"/>
        <v>1.5814360605671445</v>
      </c>
      <c r="J60">
        <f t="shared" si="8"/>
        <v>1.5725490437338898</v>
      </c>
      <c r="K60">
        <f t="shared" si="9"/>
        <v>1.5478058139330197</v>
      </c>
      <c r="L60">
        <f t="shared" si="10"/>
        <v>1.5495058333333338</v>
      </c>
      <c r="M60" s="75">
        <f t="shared" si="11"/>
        <v>1.4583333333333333</v>
      </c>
      <c r="N60">
        <f t="shared" si="12"/>
        <v>-0.003573552496518695</v>
      </c>
      <c r="O60">
        <f t="shared" si="13"/>
        <v>-0.013739215677893157</v>
      </c>
      <c r="P60">
        <f t="shared" si="14"/>
        <v>-0.013030382253186978</v>
      </c>
      <c r="Q60" s="80">
        <f t="shared" si="15"/>
        <v>-0.0007088334247061789</v>
      </c>
      <c r="R60" s="80">
        <f t="shared" si="16"/>
        <v>-0.009456829756668284</v>
      </c>
      <c r="S60" s="80">
        <f t="shared" si="17"/>
        <v>-0.010165663181374462</v>
      </c>
      <c r="T60" s="80">
        <f t="shared" si="18"/>
        <v>-0.04034724127484901</v>
      </c>
      <c r="U60" s="80">
        <f t="shared" si="19"/>
        <v>-0.05337762352803599</v>
      </c>
    </row>
    <row r="61" spans="1:21" ht="12.75">
      <c r="A61" s="75">
        <v>56</v>
      </c>
      <c r="B61" s="75">
        <f t="shared" si="3"/>
        <v>4.666666666666666</v>
      </c>
      <c r="C61">
        <f t="shared" si="0"/>
        <v>0.6270890852730562</v>
      </c>
      <c r="D61">
        <f t="shared" si="1"/>
        <v>0.6306976014265593</v>
      </c>
      <c r="E61">
        <f t="shared" si="4"/>
        <v>0.6409647350568248</v>
      </c>
      <c r="F61" s="45">
        <f t="shared" si="5"/>
        <v>0.6403251144047536</v>
      </c>
      <c r="G61" s="79">
        <f t="shared" si="6"/>
        <v>0.6818181818181819</v>
      </c>
      <c r="H61" s="75">
        <f t="shared" si="7"/>
        <v>0.5333333333333334</v>
      </c>
      <c r="I61">
        <f t="shared" si="2"/>
        <v>1.5946697582283154</v>
      </c>
      <c r="J61">
        <f t="shared" si="8"/>
        <v>1.5855459062126205</v>
      </c>
      <c r="K61">
        <f t="shared" si="9"/>
        <v>1.560148234849995</v>
      </c>
      <c r="L61">
        <f t="shared" si="10"/>
        <v>1.561706666666667</v>
      </c>
      <c r="M61" s="75">
        <f t="shared" si="11"/>
        <v>1.4666666666666666</v>
      </c>
      <c r="N61">
        <f t="shared" si="12"/>
        <v>-0.003608516153503105</v>
      </c>
      <c r="O61">
        <f t="shared" si="13"/>
        <v>-0.013875649783768651</v>
      </c>
      <c r="P61">
        <f t="shared" si="14"/>
        <v>-0.013236029131697413</v>
      </c>
      <c r="Q61" s="80">
        <f t="shared" si="15"/>
        <v>-0.0006396206520712377</v>
      </c>
      <c r="R61" s="80">
        <f t="shared" si="16"/>
        <v>-0.009627512978194308</v>
      </c>
      <c r="S61" s="80">
        <f t="shared" si="17"/>
        <v>-0.010267133630265546</v>
      </c>
      <c r="T61" s="80">
        <f t="shared" si="18"/>
        <v>-0.041493067413428286</v>
      </c>
      <c r="U61" s="80">
        <f t="shared" si="19"/>
        <v>-0.0547290965451257</v>
      </c>
    </row>
    <row r="62" spans="1:21" ht="12.75">
      <c r="A62" s="75">
        <v>57</v>
      </c>
      <c r="B62" s="75">
        <f t="shared" si="3"/>
        <v>4.75</v>
      </c>
      <c r="C62">
        <f t="shared" si="0"/>
        <v>0.62188505646502</v>
      </c>
      <c r="D62">
        <f t="shared" si="1"/>
        <v>0.625527716430301</v>
      </c>
      <c r="E62">
        <f t="shared" si="4"/>
        <v>0.6358940267893057</v>
      </c>
      <c r="F62" s="45">
        <f t="shared" si="5"/>
        <v>0.6353613538279725</v>
      </c>
      <c r="G62" s="79">
        <f t="shared" si="6"/>
        <v>0.6779661016949152</v>
      </c>
      <c r="H62" s="75">
        <f t="shared" si="7"/>
        <v>0.5249999999999999</v>
      </c>
      <c r="I62">
        <f t="shared" si="2"/>
        <v>1.608014197485783</v>
      </c>
      <c r="J62">
        <f t="shared" si="8"/>
        <v>1.5986501856491666</v>
      </c>
      <c r="K62">
        <f t="shared" si="9"/>
        <v>1.5725890759645955</v>
      </c>
      <c r="L62">
        <f t="shared" si="10"/>
        <v>1.5739075000000005</v>
      </c>
      <c r="M62" s="75">
        <f t="shared" si="11"/>
        <v>1.475</v>
      </c>
      <c r="N62">
        <f t="shared" si="12"/>
        <v>-0.0036426599652810143</v>
      </c>
      <c r="O62">
        <f t="shared" si="13"/>
        <v>-0.014008970324285719</v>
      </c>
      <c r="P62">
        <f t="shared" si="14"/>
        <v>-0.013476297362952527</v>
      </c>
      <c r="Q62" s="80">
        <f t="shared" si="15"/>
        <v>-0.0005326729613331915</v>
      </c>
      <c r="R62" s="80">
        <f t="shared" si="16"/>
        <v>-0.009833637397671513</v>
      </c>
      <c r="S62" s="80">
        <f t="shared" si="17"/>
        <v>-0.010366310359004705</v>
      </c>
      <c r="T62" s="80">
        <f t="shared" si="18"/>
        <v>-0.04260474786694268</v>
      </c>
      <c r="U62" s="80">
        <f t="shared" si="19"/>
        <v>-0.05608104522989521</v>
      </c>
    </row>
    <row r="63" spans="1:21" ht="12.75">
      <c r="A63" s="75">
        <v>58</v>
      </c>
      <c r="B63" s="75">
        <f t="shared" si="3"/>
        <v>4.833333333333333</v>
      </c>
      <c r="C63">
        <f t="shared" si="0"/>
        <v>0.6167242143691608</v>
      </c>
      <c r="D63">
        <f t="shared" si="1"/>
        <v>0.6204002094466035</v>
      </c>
      <c r="E63">
        <f t="shared" si="4"/>
        <v>0.6308634331816549</v>
      </c>
      <c r="F63" s="45">
        <f t="shared" si="5"/>
        <v>0.6304739587985266</v>
      </c>
      <c r="G63" s="79">
        <f t="shared" si="6"/>
        <v>0.6741573033707865</v>
      </c>
      <c r="H63" s="75">
        <f t="shared" si="7"/>
        <v>0.5166666666666666</v>
      </c>
      <c r="I63">
        <f t="shared" si="2"/>
        <v>1.6214703050420796</v>
      </c>
      <c r="J63">
        <f t="shared" si="8"/>
        <v>1.6118627698272368</v>
      </c>
      <c r="K63">
        <f t="shared" si="9"/>
        <v>1.585129122093297</v>
      </c>
      <c r="L63">
        <f t="shared" si="10"/>
        <v>1.5861083333333337</v>
      </c>
      <c r="M63" s="75">
        <f t="shared" si="11"/>
        <v>1.4833333333333334</v>
      </c>
      <c r="N63">
        <f t="shared" si="12"/>
        <v>-0.003675995077442651</v>
      </c>
      <c r="O63">
        <f t="shared" si="13"/>
        <v>-0.014139218812494136</v>
      </c>
      <c r="P63">
        <f t="shared" si="14"/>
        <v>-0.013749744429365829</v>
      </c>
      <c r="Q63" s="80">
        <f t="shared" si="15"/>
        <v>-0.0003894743831283076</v>
      </c>
      <c r="R63" s="80">
        <f t="shared" si="16"/>
        <v>-0.010073749351923178</v>
      </c>
      <c r="S63" s="80">
        <f t="shared" si="17"/>
        <v>-0.010463223735051486</v>
      </c>
      <c r="T63" s="80">
        <f t="shared" si="18"/>
        <v>-0.04368334457225986</v>
      </c>
      <c r="U63" s="80">
        <f t="shared" si="19"/>
        <v>-0.05743308900162569</v>
      </c>
    </row>
    <row r="64" spans="1:21" ht="12.75">
      <c r="A64" s="75">
        <v>59</v>
      </c>
      <c r="B64" s="75">
        <f t="shared" si="3"/>
        <v>4.916666666666666</v>
      </c>
      <c r="C64">
        <f t="shared" si="0"/>
        <v>0.611606200591592</v>
      </c>
      <c r="D64">
        <f t="shared" si="1"/>
        <v>0.6153147330990824</v>
      </c>
      <c r="E64">
        <f t="shared" si="4"/>
        <v>0.6258726368845294</v>
      </c>
      <c r="F64" s="45">
        <f t="shared" si="5"/>
        <v>0.6256611804870875</v>
      </c>
      <c r="G64" s="79">
        <f t="shared" si="6"/>
        <v>0.6703910614525139</v>
      </c>
      <c r="H64" s="75">
        <f t="shared" si="7"/>
        <v>0.5083333333333333</v>
      </c>
      <c r="I64">
        <f t="shared" si="2"/>
        <v>1.6350390153545271</v>
      </c>
      <c r="J64">
        <f t="shared" si="8"/>
        <v>1.6251845538679355</v>
      </c>
      <c r="K64">
        <f t="shared" si="9"/>
        <v>1.5977691643108138</v>
      </c>
      <c r="L64">
        <f t="shared" si="10"/>
        <v>1.5983091666666671</v>
      </c>
      <c r="M64" s="75">
        <f t="shared" si="11"/>
        <v>1.4916666666666667</v>
      </c>
      <c r="N64">
        <f t="shared" si="12"/>
        <v>-0.0037085325074903697</v>
      </c>
      <c r="O64">
        <f t="shared" si="13"/>
        <v>-0.014266436292937446</v>
      </c>
      <c r="P64">
        <f t="shared" si="14"/>
        <v>-0.014054979895495534</v>
      </c>
      <c r="Q64" s="80">
        <f t="shared" si="15"/>
        <v>-0.00021145639744191147</v>
      </c>
      <c r="R64" s="80">
        <f t="shared" si="16"/>
        <v>-0.010346447388005164</v>
      </c>
      <c r="S64" s="80">
        <f t="shared" si="17"/>
        <v>-0.010557903785447076</v>
      </c>
      <c r="T64" s="80">
        <f t="shared" si="18"/>
        <v>-0.044729880965426405</v>
      </c>
      <c r="U64" s="80">
        <f t="shared" si="19"/>
        <v>-0.05878486086092194</v>
      </c>
    </row>
    <row r="65" spans="1:21" ht="12.75">
      <c r="A65" s="75">
        <v>60</v>
      </c>
      <c r="B65" s="75">
        <f t="shared" si="3"/>
        <v>5</v>
      </c>
      <c r="C65">
        <f t="shared" si="0"/>
        <v>0.6065306597126334</v>
      </c>
      <c r="D65">
        <f t="shared" si="1"/>
        <v>0.6102709428588303</v>
      </c>
      <c r="E65">
        <f t="shared" si="4"/>
        <v>0.6209213230591549</v>
      </c>
      <c r="F65" s="45">
        <f t="shared" si="5"/>
        <v>0.6209213230591549</v>
      </c>
      <c r="G65" s="79">
        <f t="shared" si="6"/>
        <v>0.6666666666666666</v>
      </c>
      <c r="H65" s="75">
        <f t="shared" si="7"/>
        <v>0.5</v>
      </c>
      <c r="I65">
        <f t="shared" si="2"/>
        <v>1.6487212707001282</v>
      </c>
      <c r="J65">
        <f t="shared" si="8"/>
        <v>1.6386164402903958</v>
      </c>
      <c r="K65">
        <f t="shared" si="9"/>
        <v>1.6105100000000006</v>
      </c>
      <c r="L65">
        <f t="shared" si="10"/>
        <v>1.6105100000000006</v>
      </c>
      <c r="M65" s="75">
        <f t="shared" si="11"/>
        <v>1.5</v>
      </c>
      <c r="N65">
        <f t="shared" si="12"/>
        <v>-0.003740283146196899</v>
      </c>
      <c r="O65">
        <f t="shared" si="13"/>
        <v>-0.014390663346521504</v>
      </c>
      <c r="P65">
        <f t="shared" si="14"/>
        <v>-0.014390663346521504</v>
      </c>
      <c r="Q65" s="80">
        <f t="shared" si="15"/>
        <v>0</v>
      </c>
      <c r="R65" s="80">
        <f t="shared" si="16"/>
        <v>-0.010650380200324605</v>
      </c>
      <c r="S65" s="80">
        <f t="shared" si="17"/>
        <v>-0.010650380200324605</v>
      </c>
      <c r="T65" s="80">
        <f t="shared" si="18"/>
        <v>-0.0457453436075117</v>
      </c>
      <c r="U65" s="80">
        <f t="shared" si="19"/>
        <v>-0.060136006954033205</v>
      </c>
    </row>
    <row r="66" spans="1:21" ht="12.75">
      <c r="A66" s="75">
        <v>61</v>
      </c>
      <c r="B66" s="75">
        <f t="shared" si="3"/>
        <v>5.083333333333333</v>
      </c>
      <c r="C66">
        <f t="shared" si="0"/>
        <v>0.6014972392621288</v>
      </c>
      <c r="D66">
        <f t="shared" si="1"/>
        <v>0.6052684970210765</v>
      </c>
      <c r="E66">
        <f t="shared" si="4"/>
        <v>0.6160091793574648</v>
      </c>
      <c r="F66" s="45">
        <f t="shared" si="5"/>
        <v>0.6157897418768479</v>
      </c>
      <c r="G66" s="79">
        <f t="shared" si="6"/>
        <v>0.6629834254143646</v>
      </c>
      <c r="H66" s="75">
        <f t="shared" si="7"/>
        <v>0.4916666666666667</v>
      </c>
      <c r="I66">
        <f t="shared" si="2"/>
        <v>1.662518021241002</v>
      </c>
      <c r="J66">
        <f t="shared" si="8"/>
        <v>1.6521593390729175</v>
      </c>
      <c r="K66">
        <f t="shared" si="9"/>
        <v>1.6233524329021543</v>
      </c>
      <c r="L66">
        <f t="shared" si="10"/>
        <v>1.6239309166666673</v>
      </c>
      <c r="M66" s="75">
        <f t="shared" si="11"/>
        <v>1.5083333333333333</v>
      </c>
      <c r="N66">
        <f t="shared" si="12"/>
        <v>-0.0037712577589477103</v>
      </c>
      <c r="O66">
        <f t="shared" si="13"/>
        <v>-0.014511940095335962</v>
      </c>
      <c r="P66">
        <f t="shared" si="14"/>
        <v>-0.014292502614719038</v>
      </c>
      <c r="Q66" s="80">
        <f t="shared" si="15"/>
        <v>-0.00021943748061692414</v>
      </c>
      <c r="R66" s="80">
        <f t="shared" si="16"/>
        <v>-0.010521244855771328</v>
      </c>
      <c r="S66" s="80">
        <f t="shared" si="17"/>
        <v>-0.010740682336388252</v>
      </c>
      <c r="T66" s="80">
        <f t="shared" si="18"/>
        <v>-0.04719368353751674</v>
      </c>
      <c r="U66" s="80">
        <f t="shared" si="19"/>
        <v>-0.06148618615223578</v>
      </c>
    </row>
    <row r="67" spans="1:21" ht="12.75">
      <c r="A67" s="75">
        <v>62</v>
      </c>
      <c r="B67" s="75">
        <f t="shared" si="3"/>
        <v>5.166666666666666</v>
      </c>
      <c r="C67">
        <f t="shared" si="0"/>
        <v>0.5965055896949684</v>
      </c>
      <c r="D67">
        <f t="shared" si="1"/>
        <v>0.6003070566820315</v>
      </c>
      <c r="E67">
        <f t="shared" si="4"/>
        <v>0.6111358959023953</v>
      </c>
      <c r="F67" s="45">
        <f t="shared" si="5"/>
        <v>0.6107422849762181</v>
      </c>
      <c r="G67" s="79">
        <f t="shared" si="6"/>
        <v>0.6593406593406593</v>
      </c>
      <c r="H67" s="75">
        <f t="shared" si="7"/>
        <v>0.4833333333333334</v>
      </c>
      <c r="I67">
        <f t="shared" si="2"/>
        <v>1.6764302250903704</v>
      </c>
      <c r="J67">
        <f t="shared" si="8"/>
        <v>1.665814167714634</v>
      </c>
      <c r="K67">
        <f t="shared" si="9"/>
        <v>1.6362972731677186</v>
      </c>
      <c r="L67">
        <f t="shared" si="10"/>
        <v>1.6373518333333337</v>
      </c>
      <c r="M67" s="75">
        <f t="shared" si="11"/>
        <v>1.5166666666666666</v>
      </c>
      <c r="N67">
        <f t="shared" si="12"/>
        <v>-0.0038014669870631845</v>
      </c>
      <c r="O67">
        <f t="shared" si="13"/>
        <v>-0.01463030620742689</v>
      </c>
      <c r="P67">
        <f t="shared" si="14"/>
        <v>-0.014236695281249712</v>
      </c>
      <c r="Q67" s="80">
        <f t="shared" si="15"/>
        <v>-0.0003936109261771792</v>
      </c>
      <c r="R67" s="80">
        <f t="shared" si="16"/>
        <v>-0.010435228294186527</v>
      </c>
      <c r="S67" s="80">
        <f t="shared" si="17"/>
        <v>-0.010828839220363706</v>
      </c>
      <c r="T67" s="80">
        <f t="shared" si="18"/>
        <v>-0.048598374364441255</v>
      </c>
      <c r="U67" s="80">
        <f t="shared" si="19"/>
        <v>-0.06283506964569097</v>
      </c>
    </row>
    <row r="68" spans="1:21" ht="12.75">
      <c r="A68" s="75">
        <v>63</v>
      </c>
      <c r="B68" s="75">
        <f t="shared" si="3"/>
        <v>5.25</v>
      </c>
      <c r="C68">
        <f t="shared" si="0"/>
        <v>0.5915553643668151</v>
      </c>
      <c r="D68">
        <f t="shared" si="1"/>
        <v>0.5953862857159321</v>
      </c>
      <c r="E68">
        <f t="shared" si="4"/>
        <v>0.6063011652683374</v>
      </c>
      <c r="F68" s="45">
        <f t="shared" si="5"/>
        <v>0.605776900545517</v>
      </c>
      <c r="G68" s="79">
        <f t="shared" si="6"/>
        <v>0.6557377049180328</v>
      </c>
      <c r="H68" s="75">
        <f t="shared" si="7"/>
        <v>0.475</v>
      </c>
      <c r="I68">
        <f t="shared" si="2"/>
        <v>1.6904588483790912</v>
      </c>
      <c r="J68">
        <f t="shared" si="8"/>
        <v>1.6795818512976552</v>
      </c>
      <c r="K68">
        <f t="shared" si="9"/>
        <v>1.6493453374073905</v>
      </c>
      <c r="L68">
        <f t="shared" si="10"/>
        <v>1.6507727500000007</v>
      </c>
      <c r="M68" s="75">
        <f t="shared" si="11"/>
        <v>1.525</v>
      </c>
      <c r="N68">
        <f t="shared" si="12"/>
        <v>-0.0038309213491170002</v>
      </c>
      <c r="O68">
        <f t="shared" si="13"/>
        <v>-0.014745800901522332</v>
      </c>
      <c r="P68">
        <f t="shared" si="14"/>
        <v>-0.014221536178701921</v>
      </c>
      <c r="Q68" s="80">
        <f t="shared" si="15"/>
        <v>-0.0005242647228204111</v>
      </c>
      <c r="R68" s="80">
        <f t="shared" si="16"/>
        <v>-0.010390614829584921</v>
      </c>
      <c r="S68" s="80">
        <f t="shared" si="17"/>
        <v>-0.010914879552405332</v>
      </c>
      <c r="T68" s="80">
        <f t="shared" si="18"/>
        <v>-0.04996080437251582</v>
      </c>
      <c r="U68" s="80">
        <f t="shared" si="19"/>
        <v>-0.06418234055121774</v>
      </c>
    </row>
    <row r="69" spans="1:21" ht="12.75">
      <c r="A69" s="75">
        <v>64</v>
      </c>
      <c r="B69" s="75">
        <f t="shared" si="3"/>
        <v>5.333333333333333</v>
      </c>
      <c r="C69">
        <f t="shared" si="0"/>
        <v>0.5866462195100318</v>
      </c>
      <c r="D69">
        <f t="shared" si="1"/>
        <v>0.5905058507522699</v>
      </c>
      <c r="E69">
        <f t="shared" si="4"/>
        <v>0.6015046824617444</v>
      </c>
      <c r="F69" s="45">
        <f t="shared" si="5"/>
        <v>0.6008916029604726</v>
      </c>
      <c r="G69" s="79">
        <f t="shared" si="6"/>
        <v>0.6521739130434783</v>
      </c>
      <c r="H69" s="75">
        <f t="shared" si="7"/>
        <v>0.4666666666666667</v>
      </c>
      <c r="I69">
        <f t="shared" si="2"/>
        <v>1.704604865322753</v>
      </c>
      <c r="J69">
        <f t="shared" si="8"/>
        <v>1.6934633225497402</v>
      </c>
      <c r="K69">
        <f t="shared" si="9"/>
        <v>1.6624974487436344</v>
      </c>
      <c r="L69">
        <f t="shared" si="10"/>
        <v>1.664193666666667</v>
      </c>
      <c r="M69" s="75">
        <f t="shared" si="11"/>
        <v>1.5333333333333332</v>
      </c>
      <c r="N69">
        <f t="shared" si="12"/>
        <v>-0.003859631242238093</v>
      </c>
      <c r="O69">
        <f t="shared" si="13"/>
        <v>-0.014858462951712559</v>
      </c>
      <c r="P69">
        <f t="shared" si="14"/>
        <v>-0.014245383450440796</v>
      </c>
      <c r="Q69" s="80">
        <f t="shared" si="15"/>
        <v>-0.0006130795012717627</v>
      </c>
      <c r="R69" s="80">
        <f t="shared" si="16"/>
        <v>-0.010385752208202703</v>
      </c>
      <c r="S69" s="80">
        <f t="shared" si="17"/>
        <v>-0.010998831709474466</v>
      </c>
      <c r="T69" s="80">
        <f t="shared" si="18"/>
        <v>-0.051282310083005656</v>
      </c>
      <c r="U69" s="80">
        <f t="shared" si="19"/>
        <v>-0.06552769353344645</v>
      </c>
    </row>
    <row r="70" spans="1:21" ht="12.75">
      <c r="A70" s="75">
        <v>65</v>
      </c>
      <c r="B70" s="75">
        <f aca="true" t="shared" si="20" ref="B70:B125">A70*$B$3</f>
        <v>5.416666666666666</v>
      </c>
      <c r="C70">
        <f aca="true" t="shared" si="21" ref="C70:C125">EXP(-$C$3*B70)</f>
        <v>0.5817778142098083</v>
      </c>
      <c r="D70">
        <f aca="true" t="shared" si="22" ref="D70:D125">1/((1+$C$3/D$3)^($B70*D$3))</f>
        <v>0.5856654211532015</v>
      </c>
      <c r="E70">
        <f aca="true" t="shared" si="23" ref="E70:E125">1/((1+$C$3/E$3)^($B70*E$3))</f>
        <v>0.5967461449018898</v>
      </c>
      <c r="F70" s="45">
        <f aca="true" t="shared" si="24" ref="F70:F125">(1/((1+$C$3/$F$3)^(INT(B70*$F$3))))*(1/(1+$C$3*(B70-INT(B70*$F$3)/$F$3)))</f>
        <v>0.5960844701367889</v>
      </c>
      <c r="G70" s="79">
        <f aca="true" t="shared" si="25" ref="G70:G82">1/(1+$C$3*B70)</f>
        <v>0.6486486486486487</v>
      </c>
      <c r="H70" s="75">
        <f aca="true" t="shared" si="26" ref="H70:H125">1-$C$3*$B70</f>
        <v>0.45833333333333337</v>
      </c>
      <c r="I70">
        <f aca="true" t="shared" si="27" ref="I70:I82">1/C70</f>
        <v>1.7188692582893284</v>
      </c>
      <c r="J70">
        <f aca="true" t="shared" si="28" ref="J70:J82">1/D70</f>
        <v>1.7074595219074997</v>
      </c>
      <c r="K70">
        <f aca="true" t="shared" si="29" ref="K70:K82">1/E70</f>
        <v>1.6757544368626103</v>
      </c>
      <c r="L70">
        <f aca="true" t="shared" si="30" ref="L70:L82">1/F70</f>
        <v>1.6776145833333336</v>
      </c>
      <c r="M70" s="75">
        <f aca="true" t="shared" si="31" ref="M70:M82">1/G70</f>
        <v>1.5416666666666665</v>
      </c>
      <c r="N70">
        <f aca="true" t="shared" si="32" ref="N70:N82">C70-D70</f>
        <v>-0.003887606943393185</v>
      </c>
      <c r="O70">
        <f aca="true" t="shared" si="33" ref="O70:O82">C70-E70</f>
        <v>-0.014968330692081477</v>
      </c>
      <c r="P70">
        <f aca="true" t="shared" si="34" ref="P70:P82">C70-F70</f>
        <v>-0.01430665592698055</v>
      </c>
      <c r="Q70" s="80">
        <f aca="true" t="shared" si="35" ref="Q70:Q125">F70-E70</f>
        <v>-0.000661674765100928</v>
      </c>
      <c r="R70" s="80">
        <f aca="true" t="shared" si="36" ref="R70:R125">D70-F70</f>
        <v>-0.010419048983587365</v>
      </c>
      <c r="S70" s="80">
        <f aca="true" t="shared" si="37" ref="S70:S125">D70-E70</f>
        <v>-0.011080723748688293</v>
      </c>
      <c r="T70" s="80">
        <f aca="true" t="shared" si="38" ref="T70:T125">F70-G70</f>
        <v>-0.052564178511859794</v>
      </c>
      <c r="U70" s="80">
        <f aca="true" t="shared" si="39" ref="U70:U125">C70-G70</f>
        <v>-0.06687083443884034</v>
      </c>
    </row>
    <row r="71" spans="1:21" ht="12.75">
      <c r="A71" s="75">
        <v>66</v>
      </c>
      <c r="B71" s="75">
        <f t="shared" si="20"/>
        <v>5.5</v>
      </c>
      <c r="C71">
        <f t="shared" si="21"/>
        <v>0.5769498103804866</v>
      </c>
      <c r="D71">
        <f t="shared" si="22"/>
        <v>0.5808646689911533</v>
      </c>
      <c r="E71">
        <f t="shared" si="23"/>
        <v>0.5920252524017808</v>
      </c>
      <c r="F71" s="45">
        <f t="shared" si="24"/>
        <v>0.5913536410087189</v>
      </c>
      <c r="G71" s="79">
        <f t="shared" si="25"/>
        <v>0.6451612903225806</v>
      </c>
      <c r="H71" s="75">
        <f t="shared" si="26"/>
        <v>0.44999999999999996</v>
      </c>
      <c r="I71">
        <f t="shared" si="27"/>
        <v>1.7332530178673953</v>
      </c>
      <c r="J71">
        <f t="shared" si="28"/>
        <v>1.7215713975800966</v>
      </c>
      <c r="K71">
        <f t="shared" si="29"/>
        <v>1.6891171380665113</v>
      </c>
      <c r="L71">
        <f t="shared" si="30"/>
        <v>1.6910355000000008</v>
      </c>
      <c r="M71" s="75">
        <f t="shared" si="31"/>
        <v>1.55</v>
      </c>
      <c r="N71">
        <f t="shared" si="32"/>
        <v>-0.003914858610666649</v>
      </c>
      <c r="O71">
        <f t="shared" si="33"/>
        <v>-0.015075442021294183</v>
      </c>
      <c r="P71">
        <f t="shared" si="34"/>
        <v>-0.01440383062823225</v>
      </c>
      <c r="Q71" s="80">
        <f t="shared" si="35"/>
        <v>-0.0006716113930619327</v>
      </c>
      <c r="R71" s="80">
        <f t="shared" si="36"/>
        <v>-0.010488972017565601</v>
      </c>
      <c r="S71" s="80">
        <f t="shared" si="37"/>
        <v>-0.011160583410627534</v>
      </c>
      <c r="T71" s="80">
        <f t="shared" si="38"/>
        <v>-0.05380764931386173</v>
      </c>
      <c r="U71" s="80">
        <f t="shared" si="39"/>
        <v>-0.06821147994209398</v>
      </c>
    </row>
    <row r="72" spans="1:21" ht="12.75">
      <c r="A72" s="75">
        <v>67</v>
      </c>
      <c r="B72" s="75">
        <f t="shared" si="20"/>
        <v>5.583333333333333</v>
      </c>
      <c r="C72">
        <f t="shared" si="21"/>
        <v>0.572161872742083</v>
      </c>
      <c r="D72">
        <f t="shared" si="22"/>
        <v>0.5761032690266048</v>
      </c>
      <c r="E72">
        <f t="shared" si="23"/>
        <v>0.5873417071492208</v>
      </c>
      <c r="F72" s="45">
        <f t="shared" si="24"/>
        <v>0.5866973131267605</v>
      </c>
      <c r="G72" s="79">
        <f t="shared" si="25"/>
        <v>0.6417112299465241</v>
      </c>
      <c r="H72" s="75">
        <f t="shared" si="26"/>
        <v>0.44166666666666665</v>
      </c>
      <c r="I72">
        <f t="shared" si="27"/>
        <v>1.7477571429349266</v>
      </c>
      <c r="J72">
        <f t="shared" si="28"/>
        <v>1.7357999056134836</v>
      </c>
      <c r="K72">
        <f t="shared" si="29"/>
        <v>1.7025863953263216</v>
      </c>
      <c r="L72">
        <f t="shared" si="30"/>
        <v>1.7044564166666674</v>
      </c>
      <c r="M72" s="75">
        <f t="shared" si="31"/>
        <v>1.5583333333333333</v>
      </c>
      <c r="N72">
        <f t="shared" si="32"/>
        <v>-0.0039413962845218364</v>
      </c>
      <c r="O72">
        <f t="shared" si="33"/>
        <v>-0.015179834407137882</v>
      </c>
      <c r="P72">
        <f t="shared" si="34"/>
        <v>-0.014535440384677578</v>
      </c>
      <c r="Q72" s="80">
        <f t="shared" si="35"/>
        <v>-0.000644394022460304</v>
      </c>
      <c r="R72" s="80">
        <f t="shared" si="36"/>
        <v>-0.010594044100155742</v>
      </c>
      <c r="S72" s="80">
        <f t="shared" si="37"/>
        <v>-0.011238438122616046</v>
      </c>
      <c r="T72" s="80">
        <f t="shared" si="38"/>
        <v>-0.05501391681976353</v>
      </c>
      <c r="U72" s="80">
        <f t="shared" si="39"/>
        <v>-0.06954935720444111</v>
      </c>
    </row>
    <row r="73" spans="1:21" ht="12.75">
      <c r="A73" s="75">
        <v>68</v>
      </c>
      <c r="B73" s="75">
        <f t="shared" si="20"/>
        <v>5.666666666666666</v>
      </c>
      <c r="C73">
        <f t="shared" si="21"/>
        <v>0.5674136687970038</v>
      </c>
      <c r="D73">
        <f t="shared" si="22"/>
        <v>0.5713808986860504</v>
      </c>
      <c r="E73">
        <f t="shared" si="23"/>
        <v>0.5826952136880225</v>
      </c>
      <c r="F73" s="45">
        <f t="shared" si="24"/>
        <v>0.5821137403679577</v>
      </c>
      <c r="G73" s="79">
        <f t="shared" si="25"/>
        <v>0.6382978723404256</v>
      </c>
      <c r="H73" s="75">
        <f t="shared" si="26"/>
        <v>0.43333333333333335</v>
      </c>
      <c r="I73">
        <f t="shared" si="27"/>
        <v>1.7623826407286585</v>
      </c>
      <c r="J73">
        <f t="shared" si="28"/>
        <v>1.750146009955187</v>
      </c>
      <c r="K73">
        <f t="shared" si="29"/>
        <v>1.716163058334995</v>
      </c>
      <c r="L73">
        <f t="shared" si="30"/>
        <v>1.7178773333333341</v>
      </c>
      <c r="M73" s="75">
        <f t="shared" si="31"/>
        <v>1.5666666666666667</v>
      </c>
      <c r="N73">
        <f t="shared" si="32"/>
        <v>-0.00396722988904652</v>
      </c>
      <c r="O73">
        <f t="shared" si="33"/>
        <v>-0.015281544891018628</v>
      </c>
      <c r="P73">
        <f t="shared" si="34"/>
        <v>-0.014700071570953877</v>
      </c>
      <c r="Q73" s="80">
        <f t="shared" si="35"/>
        <v>-0.0005814733200647515</v>
      </c>
      <c r="R73" s="80">
        <f t="shared" si="36"/>
        <v>-0.010732841681907357</v>
      </c>
      <c r="S73" s="80">
        <f t="shared" si="37"/>
        <v>-0.011314315001972108</v>
      </c>
      <c r="T73" s="80">
        <f t="shared" si="38"/>
        <v>-0.056184131972467855</v>
      </c>
      <c r="U73" s="80">
        <f t="shared" si="39"/>
        <v>-0.07088420354342173</v>
      </c>
    </row>
    <row r="74" spans="1:21" ht="12.75">
      <c r="A74" s="75">
        <v>69</v>
      </c>
      <c r="B74" s="75">
        <f t="shared" si="20"/>
        <v>5.75</v>
      </c>
      <c r="C74">
        <f t="shared" si="21"/>
        <v>0.5627048688069557</v>
      </c>
      <c r="D74">
        <f t="shared" si="22"/>
        <v>0.5666972380401496</v>
      </c>
      <c r="E74">
        <f t="shared" si="23"/>
        <v>0.5780854788993688</v>
      </c>
      <c r="F74" s="45">
        <f t="shared" si="24"/>
        <v>0.5776012307527022</v>
      </c>
      <c r="G74" s="79">
        <f t="shared" si="25"/>
        <v>0.6349206349206349</v>
      </c>
      <c r="H74" s="75">
        <f t="shared" si="26"/>
        <v>0.42499999999999993</v>
      </c>
      <c r="I74">
        <f t="shared" si="27"/>
        <v>1.7771305269140383</v>
      </c>
      <c r="J74">
        <f t="shared" si="28"/>
        <v>1.7646106825195988</v>
      </c>
      <c r="K74">
        <f t="shared" si="29"/>
        <v>1.7298479835610552</v>
      </c>
      <c r="L74">
        <f t="shared" si="30"/>
        <v>1.731298250000001</v>
      </c>
      <c r="M74" s="75">
        <f t="shared" si="31"/>
        <v>1.5750000000000002</v>
      </c>
      <c r="N74">
        <f t="shared" si="32"/>
        <v>-0.003992369233193904</v>
      </c>
      <c r="O74">
        <f t="shared" si="33"/>
        <v>-0.015380610092413094</v>
      </c>
      <c r="P74">
        <f t="shared" si="34"/>
        <v>-0.014896361945746506</v>
      </c>
      <c r="Q74" s="80">
        <f t="shared" si="35"/>
        <v>-0.0004842481466665882</v>
      </c>
      <c r="R74" s="80">
        <f t="shared" si="36"/>
        <v>-0.010903992712552601</v>
      </c>
      <c r="S74" s="80">
        <f t="shared" si="37"/>
        <v>-0.01138824085921919</v>
      </c>
      <c r="T74" s="80">
        <f t="shared" si="38"/>
        <v>-0.057319404167932686</v>
      </c>
      <c r="U74" s="80">
        <f t="shared" si="39"/>
        <v>-0.07221576611367919</v>
      </c>
    </row>
    <row r="75" spans="1:21" ht="12.75">
      <c r="A75" s="75">
        <v>70</v>
      </c>
      <c r="B75" s="75">
        <f t="shared" si="20"/>
        <v>5.833333333333333</v>
      </c>
      <c r="C75">
        <f t="shared" si="21"/>
        <v>0.5580351457700471</v>
      </c>
      <c r="D75">
        <f t="shared" si="22"/>
        <v>0.5620519697820535</v>
      </c>
      <c r="E75">
        <f t="shared" si="23"/>
        <v>0.5735122119833226</v>
      </c>
      <c r="F75" s="45">
        <f t="shared" si="24"/>
        <v>0.5731581443622968</v>
      </c>
      <c r="G75" s="79">
        <f t="shared" si="25"/>
        <v>0.631578947368421</v>
      </c>
      <c r="H75" s="75">
        <f t="shared" si="26"/>
        <v>0.41666666666666663</v>
      </c>
      <c r="I75">
        <f t="shared" si="27"/>
        <v>1.7920018256557555</v>
      </c>
      <c r="J75">
        <f t="shared" si="28"/>
        <v>1.7791949032538206</v>
      </c>
      <c r="K75">
        <f t="shared" si="29"/>
        <v>1.7436420343026269</v>
      </c>
      <c r="L75">
        <f t="shared" si="30"/>
        <v>1.7447191666666675</v>
      </c>
      <c r="M75" s="75">
        <f t="shared" si="31"/>
        <v>1.5833333333333335</v>
      </c>
      <c r="N75">
        <f t="shared" si="32"/>
        <v>-0.004016824012006426</v>
      </c>
      <c r="O75">
        <f t="shared" si="33"/>
        <v>-0.015477066213275492</v>
      </c>
      <c r="P75">
        <f t="shared" si="34"/>
        <v>-0.015122998592249748</v>
      </c>
      <c r="Q75" s="80">
        <f t="shared" si="35"/>
        <v>-0.0003540676210257443</v>
      </c>
      <c r="R75" s="80">
        <f t="shared" si="36"/>
        <v>-0.011106174580243322</v>
      </c>
      <c r="S75" s="80">
        <f t="shared" si="37"/>
        <v>-0.011460242201269066</v>
      </c>
      <c r="T75" s="80">
        <f t="shared" si="38"/>
        <v>-0.05842080300612418</v>
      </c>
      <c r="U75" s="80">
        <f t="shared" si="39"/>
        <v>-0.07354380159837393</v>
      </c>
    </row>
    <row r="76" spans="1:21" ht="12.75">
      <c r="A76" s="75">
        <v>71</v>
      </c>
      <c r="B76" s="75">
        <f t="shared" si="20"/>
        <v>5.916666666666666</v>
      </c>
      <c r="C76">
        <f t="shared" si="21"/>
        <v>0.5534041753980793</v>
      </c>
      <c r="D76">
        <f t="shared" si="22"/>
        <v>0.5574447792059029</v>
      </c>
      <c r="E76">
        <f t="shared" si="23"/>
        <v>0.5689751244404813</v>
      </c>
      <c r="F76" s="45">
        <f t="shared" si="24"/>
        <v>0.5687828913518977</v>
      </c>
      <c r="G76" s="79">
        <f t="shared" si="25"/>
        <v>0.6282722513089005</v>
      </c>
      <c r="H76" s="75">
        <f t="shared" si="26"/>
        <v>0.4083333333333333</v>
      </c>
      <c r="I76">
        <f t="shared" si="27"/>
        <v>1.8069975696888656</v>
      </c>
      <c r="J76">
        <f t="shared" si="28"/>
        <v>1.7938996602040664</v>
      </c>
      <c r="K76">
        <f t="shared" si="29"/>
        <v>1.7575460807418952</v>
      </c>
      <c r="L76">
        <f t="shared" si="30"/>
        <v>1.7581400833333338</v>
      </c>
      <c r="M76" s="75">
        <f t="shared" si="31"/>
        <v>1.5916666666666668</v>
      </c>
      <c r="N76">
        <f t="shared" si="32"/>
        <v>-0.004040603807823562</v>
      </c>
      <c r="O76">
        <f t="shared" si="33"/>
        <v>-0.015570949042401971</v>
      </c>
      <c r="P76">
        <f t="shared" si="34"/>
        <v>-0.015378715953818456</v>
      </c>
      <c r="Q76" s="80">
        <f t="shared" si="35"/>
        <v>-0.0001922330885835155</v>
      </c>
      <c r="R76" s="80">
        <f t="shared" si="36"/>
        <v>-0.011338112145994894</v>
      </c>
      <c r="S76" s="80">
        <f t="shared" si="37"/>
        <v>-0.01153034523457841</v>
      </c>
      <c r="T76" s="80">
        <f t="shared" si="38"/>
        <v>-0.059489359957002774</v>
      </c>
      <c r="U76" s="80">
        <f t="shared" si="39"/>
        <v>-0.07486807591082123</v>
      </c>
    </row>
    <row r="77" spans="1:21" ht="12.75">
      <c r="A77" s="75">
        <v>72</v>
      </c>
      <c r="B77" s="75">
        <f t="shared" si="20"/>
        <v>6</v>
      </c>
      <c r="C77">
        <f t="shared" si="21"/>
        <v>0.5488116360940264</v>
      </c>
      <c r="D77">
        <f t="shared" si="22"/>
        <v>0.5528753541855118</v>
      </c>
      <c r="E77">
        <f t="shared" si="23"/>
        <v>0.5644739300537772</v>
      </c>
      <c r="F77" s="45">
        <f t="shared" si="24"/>
        <v>0.5644739300537772</v>
      </c>
      <c r="G77" s="79">
        <f t="shared" si="25"/>
        <v>0.625</v>
      </c>
      <c r="H77" s="75">
        <f t="shared" si="26"/>
        <v>0.3999999999999999</v>
      </c>
      <c r="I77">
        <f t="shared" si="27"/>
        <v>1.822118800390509</v>
      </c>
      <c r="J77">
        <f t="shared" si="28"/>
        <v>1.808725949582589</v>
      </c>
      <c r="K77">
        <f t="shared" si="29"/>
        <v>1.7715610000000006</v>
      </c>
      <c r="L77">
        <f t="shared" si="30"/>
        <v>1.7715610000000006</v>
      </c>
      <c r="M77" s="75">
        <f t="shared" si="31"/>
        <v>1.6</v>
      </c>
      <c r="N77">
        <f t="shared" si="32"/>
        <v>-0.004063718091485424</v>
      </c>
      <c r="O77">
        <f t="shared" si="33"/>
        <v>-0.015662293959750828</v>
      </c>
      <c r="P77">
        <f t="shared" si="34"/>
        <v>-0.015662293959750828</v>
      </c>
      <c r="Q77" s="80">
        <f t="shared" si="35"/>
        <v>0</v>
      </c>
      <c r="R77" s="80">
        <f t="shared" si="36"/>
        <v>-0.011598575868265404</v>
      </c>
      <c r="S77" s="80">
        <f t="shared" si="37"/>
        <v>-0.011598575868265404</v>
      </c>
      <c r="T77" s="80">
        <f t="shared" si="38"/>
        <v>-0.06052606994622278</v>
      </c>
      <c r="U77" s="80">
        <f t="shared" si="39"/>
        <v>-0.07618836390597361</v>
      </c>
    </row>
    <row r="78" spans="1:21" ht="12.75">
      <c r="A78" s="75">
        <v>73</v>
      </c>
      <c r="B78" s="75">
        <f t="shared" si="20"/>
        <v>6.083333333333333</v>
      </c>
      <c r="C78">
        <f t="shared" si="21"/>
        <v>0.5442572089297024</v>
      </c>
      <c r="D78">
        <f t="shared" si="22"/>
        <v>0.548343385153223</v>
      </c>
      <c r="E78">
        <f t="shared" si="23"/>
        <v>0.5600083448704225</v>
      </c>
      <c r="F78" s="45">
        <f t="shared" si="24"/>
        <v>0.5598088562516799</v>
      </c>
      <c r="G78" s="79">
        <f t="shared" si="25"/>
        <v>0.6217616580310881</v>
      </c>
      <c r="H78" s="75">
        <f t="shared" si="26"/>
        <v>0.3916666666666666</v>
      </c>
      <c r="I78">
        <f t="shared" si="27"/>
        <v>1.8373665678522275</v>
      </c>
      <c r="J78">
        <f t="shared" si="28"/>
        <v>1.823674775835166</v>
      </c>
      <c r="K78">
        <f t="shared" si="29"/>
        <v>1.78568767619237</v>
      </c>
      <c r="L78">
        <f t="shared" si="30"/>
        <v>1.786324008333334</v>
      </c>
      <c r="M78" s="75">
        <f t="shared" si="31"/>
        <v>1.6083333333333334</v>
      </c>
      <c r="N78">
        <f t="shared" si="32"/>
        <v>-0.004086176223520588</v>
      </c>
      <c r="O78">
        <f t="shared" si="33"/>
        <v>-0.015751135940720085</v>
      </c>
      <c r="P78">
        <f t="shared" si="34"/>
        <v>-0.015551647321977446</v>
      </c>
      <c r="Q78" s="80">
        <f t="shared" si="35"/>
        <v>-0.00019948861874263812</v>
      </c>
      <c r="R78" s="80">
        <f t="shared" si="36"/>
        <v>-0.011465471098456859</v>
      </c>
      <c r="S78" s="80">
        <f t="shared" si="37"/>
        <v>-0.011664959717199497</v>
      </c>
      <c r="T78" s="80">
        <f t="shared" si="38"/>
        <v>-0.061952801779408206</v>
      </c>
      <c r="U78" s="80">
        <f t="shared" si="39"/>
        <v>-0.07750444910138565</v>
      </c>
    </row>
    <row r="79" spans="1:21" ht="12.75">
      <c r="A79" s="75">
        <v>74</v>
      </c>
      <c r="B79" s="75">
        <f t="shared" si="20"/>
        <v>6.166666666666666</v>
      </c>
      <c r="C79">
        <f t="shared" si="21"/>
        <v>0.5397405776236126</v>
      </c>
      <c r="D79">
        <f t="shared" si="22"/>
        <v>0.5438485650789295</v>
      </c>
      <c r="E79">
        <f t="shared" si="23"/>
        <v>0.5555780871839956</v>
      </c>
      <c r="F79" s="45">
        <f t="shared" si="24"/>
        <v>0.5552202590692891</v>
      </c>
      <c r="G79" s="79">
        <f t="shared" si="25"/>
        <v>0.6185567010309279</v>
      </c>
      <c r="H79" s="75">
        <f t="shared" si="26"/>
        <v>0.3833333333333333</v>
      </c>
      <c r="I79">
        <f t="shared" si="27"/>
        <v>1.8527419309528896</v>
      </c>
      <c r="J79">
        <f t="shared" si="28"/>
        <v>1.8387471517091685</v>
      </c>
      <c r="K79">
        <f t="shared" si="29"/>
        <v>1.7999270004844905</v>
      </c>
      <c r="L79">
        <f t="shared" si="30"/>
        <v>1.8010870166666673</v>
      </c>
      <c r="M79" s="75">
        <f t="shared" si="31"/>
        <v>1.6166666666666667</v>
      </c>
      <c r="N79">
        <f t="shared" si="32"/>
        <v>-0.0041079874553169304</v>
      </c>
      <c r="O79">
        <f t="shared" si="33"/>
        <v>-0.01583750956038299</v>
      </c>
      <c r="P79">
        <f t="shared" si="34"/>
        <v>-0.015479681445676463</v>
      </c>
      <c r="Q79" s="80">
        <f t="shared" si="35"/>
        <v>-0.00035782811470652653</v>
      </c>
      <c r="R79" s="80">
        <f t="shared" si="36"/>
        <v>-0.011371693990359533</v>
      </c>
      <c r="S79" s="80">
        <f t="shared" si="37"/>
        <v>-0.01172952210506606</v>
      </c>
      <c r="T79" s="80">
        <f t="shared" si="38"/>
        <v>-0.06333644196163879</v>
      </c>
      <c r="U79" s="80">
        <f t="shared" si="39"/>
        <v>-0.07881612340731525</v>
      </c>
    </row>
    <row r="80" spans="1:21" ht="12.75">
      <c r="A80" s="75">
        <v>75</v>
      </c>
      <c r="B80" s="75">
        <f t="shared" si="20"/>
        <v>6.25</v>
      </c>
      <c r="C80">
        <f t="shared" si="21"/>
        <v>0.5352614285189903</v>
      </c>
      <c r="D80">
        <f t="shared" si="22"/>
        <v>0.5393905894492799</v>
      </c>
      <c r="E80">
        <f t="shared" si="23"/>
        <v>0.5511828775166704</v>
      </c>
      <c r="F80" s="45">
        <f t="shared" si="24"/>
        <v>0.5507062732231973</v>
      </c>
      <c r="G80" s="79">
        <f t="shared" si="25"/>
        <v>0.6153846153846154</v>
      </c>
      <c r="H80" s="75">
        <f t="shared" si="26"/>
        <v>0.375</v>
      </c>
      <c r="I80">
        <f t="shared" si="27"/>
        <v>1.8682459574322223</v>
      </c>
      <c r="J80">
        <f t="shared" si="28"/>
        <v>1.8539440983221533</v>
      </c>
      <c r="K80">
        <f t="shared" si="29"/>
        <v>1.8142798711481296</v>
      </c>
      <c r="L80">
        <f t="shared" si="30"/>
        <v>1.8158500250000005</v>
      </c>
      <c r="M80" s="75">
        <f t="shared" si="31"/>
        <v>1.625</v>
      </c>
      <c r="N80">
        <f t="shared" si="32"/>
        <v>-0.004129160930289588</v>
      </c>
      <c r="O80">
        <f t="shared" si="33"/>
        <v>-0.01592144899768011</v>
      </c>
      <c r="P80">
        <f t="shared" si="34"/>
        <v>-0.01544484470420704</v>
      </c>
      <c r="Q80" s="80">
        <f t="shared" si="35"/>
        <v>-0.00047660429347307076</v>
      </c>
      <c r="R80" s="80">
        <f t="shared" si="36"/>
        <v>-0.011315683773917451</v>
      </c>
      <c r="S80" s="80">
        <f t="shared" si="37"/>
        <v>-0.011792288067390522</v>
      </c>
      <c r="T80" s="80">
        <f t="shared" si="38"/>
        <v>-0.0646783421614181</v>
      </c>
      <c r="U80" s="80">
        <f t="shared" si="39"/>
        <v>-0.08012318686562514</v>
      </c>
    </row>
    <row r="81" spans="1:21" ht="12.75">
      <c r="A81" s="75">
        <v>76</v>
      </c>
      <c r="B81" s="75">
        <f t="shared" si="20"/>
        <v>6.333333333333333</v>
      </c>
      <c r="C81">
        <f t="shared" si="21"/>
        <v>0.530819450562014</v>
      </c>
      <c r="D81">
        <f t="shared" si="22"/>
        <v>0.5349691562470469</v>
      </c>
      <c r="E81">
        <f t="shared" si="23"/>
        <v>0.5468224386015857</v>
      </c>
      <c r="F81" s="45">
        <f t="shared" si="24"/>
        <v>0.5462650936004296</v>
      </c>
      <c r="G81" s="79">
        <f t="shared" si="25"/>
        <v>0.6122448979591837</v>
      </c>
      <c r="H81" s="75">
        <f t="shared" si="26"/>
        <v>0.3666666666666667</v>
      </c>
      <c r="I81">
        <f t="shared" si="27"/>
        <v>1.8838797239649627</v>
      </c>
      <c r="J81">
        <f t="shared" si="28"/>
        <v>1.869266645231045</v>
      </c>
      <c r="K81">
        <f t="shared" si="29"/>
        <v>1.828747193617998</v>
      </c>
      <c r="L81">
        <f t="shared" si="30"/>
        <v>1.830613033333334</v>
      </c>
      <c r="M81" s="75">
        <f t="shared" si="31"/>
        <v>1.6333333333333333</v>
      </c>
      <c r="N81">
        <f t="shared" si="32"/>
        <v>-0.004149705685032923</v>
      </c>
      <c r="O81">
        <f t="shared" si="33"/>
        <v>-0.016002988039571786</v>
      </c>
      <c r="P81">
        <f t="shared" si="34"/>
        <v>-0.015445643038415668</v>
      </c>
      <c r="Q81" s="80">
        <f t="shared" si="35"/>
        <v>-0.0005573450011561176</v>
      </c>
      <c r="R81" s="80">
        <f t="shared" si="36"/>
        <v>-0.011295937353382746</v>
      </c>
      <c r="S81" s="80">
        <f t="shared" si="37"/>
        <v>-0.011853282354538863</v>
      </c>
      <c r="T81" s="80">
        <f t="shared" si="38"/>
        <v>-0.06597980435875406</v>
      </c>
      <c r="U81" s="80">
        <f t="shared" si="39"/>
        <v>-0.08142544739716973</v>
      </c>
    </row>
    <row r="82" spans="1:21" ht="12.75">
      <c r="A82" s="75">
        <v>77</v>
      </c>
      <c r="B82" s="75">
        <f t="shared" si="20"/>
        <v>6.416666666666666</v>
      </c>
      <c r="C82">
        <f t="shared" si="21"/>
        <v>0.5264143352802072</v>
      </c>
      <c r="D82">
        <f t="shared" si="22"/>
        <v>0.530583965930663</v>
      </c>
      <c r="E82">
        <f t="shared" si="23"/>
        <v>0.5424964953653543</v>
      </c>
      <c r="F82" s="45">
        <f t="shared" si="24"/>
        <v>0.5418949728516262</v>
      </c>
      <c r="G82" s="79">
        <f t="shared" si="25"/>
        <v>0.6091370558375635</v>
      </c>
      <c r="H82" s="75">
        <f t="shared" si="26"/>
        <v>0.3583333333333334</v>
      </c>
      <c r="I82">
        <f t="shared" si="27"/>
        <v>1.8996443162356245</v>
      </c>
      <c r="J82">
        <f t="shared" si="28"/>
        <v>1.8847158305018974</v>
      </c>
      <c r="K82">
        <f t="shared" si="29"/>
        <v>1.8433298805488716</v>
      </c>
      <c r="L82">
        <f t="shared" si="30"/>
        <v>1.845376041666667</v>
      </c>
      <c r="M82" s="75">
        <f t="shared" si="31"/>
        <v>1.6416666666666666</v>
      </c>
      <c r="N82">
        <f t="shared" si="32"/>
        <v>-0.004169630650455836</v>
      </c>
      <c r="O82">
        <f t="shared" si="33"/>
        <v>-0.016082160085147068</v>
      </c>
      <c r="P82">
        <f t="shared" si="34"/>
        <v>-0.015480637571419043</v>
      </c>
      <c r="Q82" s="80">
        <f t="shared" si="35"/>
        <v>-0.0006015225137280256</v>
      </c>
      <c r="R82" s="80">
        <f t="shared" si="36"/>
        <v>-0.011311006920963207</v>
      </c>
      <c r="S82" s="80">
        <f t="shared" si="37"/>
        <v>-0.011912529434691232</v>
      </c>
      <c r="T82" s="80">
        <f t="shared" si="38"/>
        <v>-0.06724208298593726</v>
      </c>
      <c r="U82" s="80">
        <f t="shared" si="39"/>
        <v>-0.0827227205573563</v>
      </c>
    </row>
    <row r="83" spans="1:21" ht="12.75">
      <c r="A83" s="75">
        <v>78</v>
      </c>
      <c r="B83" s="75">
        <f t="shared" si="20"/>
        <v>6.5</v>
      </c>
      <c r="C83">
        <f t="shared" si="21"/>
        <v>0.522045776761016</v>
      </c>
      <c r="D83">
        <f t="shared" si="22"/>
        <v>0.5262347214139317</v>
      </c>
      <c r="E83">
        <f t="shared" si="23"/>
        <v>0.5382047749107097</v>
      </c>
      <c r="F83" s="45">
        <f t="shared" si="24"/>
        <v>0.5375942190988354</v>
      </c>
      <c r="G83" s="79">
        <f aca="true" t="shared" si="40" ref="G83:G118">1/(1+$C$3*B83)</f>
        <v>0.6060606060606061</v>
      </c>
      <c r="H83" s="75">
        <f t="shared" si="26"/>
        <v>0.35</v>
      </c>
      <c r="I83">
        <f aca="true" t="shared" si="41" ref="I83:I118">1/C83</f>
        <v>1.915540829013896</v>
      </c>
      <c r="J83">
        <f aca="true" t="shared" si="42" ref="J83:J118">1/D83</f>
        <v>1.9002927007802068</v>
      </c>
      <c r="K83">
        <f aca="true" t="shared" si="43" ref="K83:K118">1/E83</f>
        <v>1.8580288518731627</v>
      </c>
      <c r="L83">
        <f aca="true" t="shared" si="44" ref="L83:L118">1/F83</f>
        <v>1.8601390500000008</v>
      </c>
      <c r="M83" s="75">
        <f aca="true" t="shared" si="45" ref="M83:M118">1/G83</f>
        <v>1.65</v>
      </c>
      <c r="N83">
        <f aca="true" t="shared" si="46" ref="N83:N118">C83-D83</f>
        <v>-0.004188944652915638</v>
      </c>
      <c r="O83">
        <f aca="true" t="shared" si="47" ref="O83:O118">C83-E83</f>
        <v>-0.016158998149693682</v>
      </c>
      <c r="P83">
        <f aca="true" t="shared" si="48" ref="P83:P118">C83-F83</f>
        <v>-0.01554844233781938</v>
      </c>
      <c r="Q83" s="80">
        <f t="shared" si="35"/>
        <v>-0.0006105558118743026</v>
      </c>
      <c r="R83" s="80">
        <f t="shared" si="36"/>
        <v>-0.011359497684903741</v>
      </c>
      <c r="S83" s="80">
        <f t="shared" si="37"/>
        <v>-0.011970053496778044</v>
      </c>
      <c r="T83" s="80">
        <f t="shared" si="38"/>
        <v>-0.06846638696177065</v>
      </c>
      <c r="U83" s="80">
        <f t="shared" si="39"/>
        <v>-0.08401482929959003</v>
      </c>
    </row>
    <row r="84" spans="1:21" ht="12.75">
      <c r="A84" s="75">
        <v>79</v>
      </c>
      <c r="B84" s="75">
        <f t="shared" si="20"/>
        <v>6.583333333333333</v>
      </c>
      <c r="C84">
        <f t="shared" si="21"/>
        <v>0.5177134716305657</v>
      </c>
      <c r="D84">
        <f t="shared" si="22"/>
        <v>0.5219211280458994</v>
      </c>
      <c r="E84">
        <f t="shared" si="23"/>
        <v>0.5339470064992916</v>
      </c>
      <c r="F84" s="45">
        <f t="shared" si="24"/>
        <v>0.5333611937516005</v>
      </c>
      <c r="G84" s="79">
        <f t="shared" si="40"/>
        <v>0.6030150753768845</v>
      </c>
      <c r="H84" s="75">
        <f t="shared" si="26"/>
        <v>0.3416666666666667</v>
      </c>
      <c r="I84">
        <f t="shared" si="41"/>
        <v>1.9315703662306636</v>
      </c>
      <c r="J84">
        <f t="shared" si="42"/>
        <v>1.9159983113618209</v>
      </c>
      <c r="K84">
        <f t="shared" si="43"/>
        <v>1.872845034858954</v>
      </c>
      <c r="L84">
        <f t="shared" si="44"/>
        <v>1.874902058333334</v>
      </c>
      <c r="M84" s="75">
        <f t="shared" si="45"/>
        <v>1.6583333333333332</v>
      </c>
      <c r="N84">
        <f t="shared" si="46"/>
        <v>-0.004207656415333716</v>
      </c>
      <c r="O84">
        <f t="shared" si="47"/>
        <v>-0.01623353486872592</v>
      </c>
      <c r="P84">
        <f t="shared" si="48"/>
        <v>-0.015647722121034824</v>
      </c>
      <c r="Q84" s="80">
        <f t="shared" si="35"/>
        <v>-0.0005858127476910946</v>
      </c>
      <c r="R84" s="80">
        <f t="shared" si="36"/>
        <v>-0.011440065705701108</v>
      </c>
      <c r="S84" s="80">
        <f t="shared" si="37"/>
        <v>-0.012025878453392203</v>
      </c>
      <c r="T84" s="80">
        <f t="shared" si="38"/>
        <v>-0.06965388162528396</v>
      </c>
      <c r="U84" s="80">
        <f t="shared" si="39"/>
        <v>-0.08530160374631879</v>
      </c>
    </row>
    <row r="85" spans="1:21" ht="12.75">
      <c r="A85" s="75">
        <v>80</v>
      </c>
      <c r="B85" s="75">
        <f t="shared" si="20"/>
        <v>6.666666666666666</v>
      </c>
      <c r="C85">
        <f t="shared" si="21"/>
        <v>0.513417119032592</v>
      </c>
      <c r="D85">
        <f t="shared" si="22"/>
        <v>0.5176428935908909</v>
      </c>
      <c r="E85">
        <f t="shared" si="23"/>
        <v>0.5297229215345659</v>
      </c>
      <c r="F85" s="45">
        <f t="shared" si="24"/>
        <v>0.5291943094254161</v>
      </c>
      <c r="G85" s="79">
        <f t="shared" si="40"/>
        <v>0.6000000000000001</v>
      </c>
      <c r="H85" s="75">
        <f t="shared" si="26"/>
        <v>0.33333333333333337</v>
      </c>
      <c r="I85">
        <f t="shared" si="41"/>
        <v>1.947734041054676</v>
      </c>
      <c r="J85">
        <f t="shared" si="42"/>
        <v>1.9318337262644443</v>
      </c>
      <c r="K85">
        <f t="shared" si="43"/>
        <v>1.8877793641684943</v>
      </c>
      <c r="L85">
        <f t="shared" si="44"/>
        <v>1.8896650666666674</v>
      </c>
      <c r="M85" s="75">
        <f t="shared" si="45"/>
        <v>1.6666666666666665</v>
      </c>
      <c r="N85">
        <f t="shared" si="46"/>
        <v>-0.004225774558298867</v>
      </c>
      <c r="O85">
        <f t="shared" si="47"/>
        <v>-0.016305802501973887</v>
      </c>
      <c r="P85">
        <f t="shared" si="48"/>
        <v>-0.015777190392824103</v>
      </c>
      <c r="Q85" s="80">
        <f t="shared" si="35"/>
        <v>-0.0005286121091497842</v>
      </c>
      <c r="R85" s="80">
        <f t="shared" si="36"/>
        <v>-0.011551415834525236</v>
      </c>
      <c r="S85" s="80">
        <f t="shared" si="37"/>
        <v>-0.01208002794367502</v>
      </c>
      <c r="T85" s="80">
        <f t="shared" si="38"/>
        <v>-0.07080569057458397</v>
      </c>
      <c r="U85" s="80">
        <f t="shared" si="39"/>
        <v>-0.08658288096740807</v>
      </c>
    </row>
    <row r="86" spans="1:21" ht="12.75">
      <c r="A86" s="75">
        <v>81</v>
      </c>
      <c r="B86" s="75">
        <f t="shared" si="20"/>
        <v>6.75</v>
      </c>
      <c r="C86">
        <f t="shared" si="21"/>
        <v>0.5091564206075492</v>
      </c>
      <c r="D86">
        <f t="shared" si="22"/>
        <v>0.5133997282087138</v>
      </c>
      <c r="E86">
        <f t="shared" si="23"/>
        <v>0.5255322535448808</v>
      </c>
      <c r="F86" s="45">
        <f t="shared" si="24"/>
        <v>0.525092027957002</v>
      </c>
      <c r="G86" s="79">
        <f t="shared" si="40"/>
        <v>0.5970149253731343</v>
      </c>
      <c r="H86" s="75">
        <f t="shared" si="26"/>
        <v>0.32499999999999996</v>
      </c>
      <c r="I86">
        <f t="shared" si="41"/>
        <v>1.9640329759698472</v>
      </c>
      <c r="J86">
        <f t="shared" si="42"/>
        <v>1.9478000182997122</v>
      </c>
      <c r="K86">
        <f t="shared" si="43"/>
        <v>1.9028327819171604</v>
      </c>
      <c r="L86">
        <f t="shared" si="44"/>
        <v>1.9044280750000007</v>
      </c>
      <c r="M86" s="75">
        <f t="shared" si="45"/>
        <v>1.675</v>
      </c>
      <c r="N86">
        <f t="shared" si="46"/>
        <v>-0.0042433076011646476</v>
      </c>
      <c r="O86">
        <f t="shared" si="47"/>
        <v>-0.01637583293733158</v>
      </c>
      <c r="P86">
        <f t="shared" si="48"/>
        <v>-0.015935607349452874</v>
      </c>
      <c r="Q86" s="80">
        <f t="shared" si="35"/>
        <v>-0.00044022558787870647</v>
      </c>
      <c r="R86" s="80">
        <f t="shared" si="36"/>
        <v>-0.011692299748288226</v>
      </c>
      <c r="S86" s="80">
        <f t="shared" si="37"/>
        <v>-0.012132525336166933</v>
      </c>
      <c r="T86" s="80">
        <f t="shared" si="38"/>
        <v>-0.07192289741613223</v>
      </c>
      <c r="U86" s="80">
        <f t="shared" si="39"/>
        <v>-0.0878585047655851</v>
      </c>
    </row>
    <row r="87" spans="1:21" ht="12.75">
      <c r="A87" s="75">
        <v>82</v>
      </c>
      <c r="B87" s="75">
        <f t="shared" si="20"/>
        <v>6.833333333333333</v>
      </c>
      <c r="C87">
        <f t="shared" si="21"/>
        <v>0.5049310804718897</v>
      </c>
      <c r="D87">
        <f t="shared" si="22"/>
        <v>0.5091913444350239</v>
      </c>
      <c r="E87">
        <f t="shared" si="23"/>
        <v>0.5213747381666569</v>
      </c>
      <c r="F87" s="45">
        <f t="shared" si="24"/>
        <v>0.521052858511179</v>
      </c>
      <c r="G87" s="79">
        <f t="shared" si="40"/>
        <v>0.594059405940594</v>
      </c>
      <c r="H87" s="75">
        <f t="shared" si="26"/>
        <v>0.31666666666666665</v>
      </c>
      <c r="I87">
        <f t="shared" si="41"/>
        <v>1.980468302853208</v>
      </c>
      <c r="J87">
        <f t="shared" si="42"/>
        <v>1.9638982691458662</v>
      </c>
      <c r="K87">
        <f t="shared" si="43"/>
        <v>1.9180062377328895</v>
      </c>
      <c r="L87">
        <f t="shared" si="44"/>
        <v>1.9191910833333339</v>
      </c>
      <c r="M87" s="75">
        <f t="shared" si="45"/>
        <v>1.6833333333333333</v>
      </c>
      <c r="N87">
        <f t="shared" si="46"/>
        <v>-0.00426026396313417</v>
      </c>
      <c r="O87">
        <f t="shared" si="47"/>
        <v>-0.01644365769476719</v>
      </c>
      <c r="P87">
        <f t="shared" si="48"/>
        <v>-0.01612177803928927</v>
      </c>
      <c r="Q87" s="80">
        <f t="shared" si="35"/>
        <v>-0.0003218796554779191</v>
      </c>
      <c r="R87" s="80">
        <f t="shared" si="36"/>
        <v>-0.0118615140761551</v>
      </c>
      <c r="S87" s="80">
        <f t="shared" si="37"/>
        <v>-0.012183393731633019</v>
      </c>
      <c r="T87" s="80">
        <f t="shared" si="38"/>
        <v>-0.07300654742941504</v>
      </c>
      <c r="U87" s="80">
        <f t="shared" si="39"/>
        <v>-0.0891283254687043</v>
      </c>
    </row>
    <row r="88" spans="1:21" ht="12.75">
      <c r="A88" s="75">
        <v>83</v>
      </c>
      <c r="B88" s="75">
        <f t="shared" si="20"/>
        <v>6.916666666666666</v>
      </c>
      <c r="C88">
        <f t="shared" si="21"/>
        <v>0.5007408051975173</v>
      </c>
      <c r="D88">
        <f t="shared" si="22"/>
        <v>0.5050174571618448</v>
      </c>
      <c r="E88">
        <f t="shared" si="23"/>
        <v>0.5172501131277101</v>
      </c>
      <c r="F88" s="45">
        <f t="shared" si="24"/>
        <v>0.5170753557744524</v>
      </c>
      <c r="G88" s="79">
        <f t="shared" si="40"/>
        <v>0.5911330049261084</v>
      </c>
      <c r="H88" s="75">
        <f t="shared" si="26"/>
        <v>0.30833333333333335</v>
      </c>
      <c r="I88">
        <f t="shared" si="41"/>
        <v>1.9970411630535079</v>
      </c>
      <c r="J88">
        <f t="shared" si="42"/>
        <v>1.9801295694210554</v>
      </c>
      <c r="K88">
        <f t="shared" si="43"/>
        <v>1.9333006888160855</v>
      </c>
      <c r="L88">
        <f t="shared" si="44"/>
        <v>1.9339540916666673</v>
      </c>
      <c r="M88" s="75">
        <f t="shared" si="45"/>
        <v>1.6916666666666664</v>
      </c>
      <c r="N88">
        <f t="shared" si="46"/>
        <v>-0.004276651964327471</v>
      </c>
      <c r="O88">
        <f t="shared" si="47"/>
        <v>-0.016509307930192785</v>
      </c>
      <c r="P88">
        <f t="shared" si="48"/>
        <v>-0.016334550576935114</v>
      </c>
      <c r="Q88" s="80">
        <f t="shared" si="35"/>
        <v>-0.00017475735325767072</v>
      </c>
      <c r="R88" s="80">
        <f t="shared" si="36"/>
        <v>-0.012057898612607643</v>
      </c>
      <c r="S88" s="80">
        <f t="shared" si="37"/>
        <v>-0.012232655965865313</v>
      </c>
      <c r="T88" s="80">
        <f t="shared" si="38"/>
        <v>-0.07405764915165602</v>
      </c>
      <c r="U88" s="80">
        <f t="shared" si="39"/>
        <v>-0.09039219972859114</v>
      </c>
    </row>
    <row r="89" spans="1:21" ht="12.75">
      <c r="A89" s="75">
        <v>84</v>
      </c>
      <c r="B89" s="75">
        <f t="shared" si="20"/>
        <v>7</v>
      </c>
      <c r="C89">
        <f t="shared" si="21"/>
        <v>0.49658530379140947</v>
      </c>
      <c r="D89">
        <f t="shared" si="22"/>
        <v>0.5008777836182574</v>
      </c>
      <c r="E89">
        <f t="shared" si="23"/>
        <v>0.5131581182307065</v>
      </c>
      <c r="F89" s="45">
        <f t="shared" si="24"/>
        <v>0.5131581182307065</v>
      </c>
      <c r="G89" s="79">
        <f t="shared" si="40"/>
        <v>0.588235294117647</v>
      </c>
      <c r="H89" s="75">
        <f t="shared" si="26"/>
        <v>0.29999999999999993</v>
      </c>
      <c r="I89">
        <f t="shared" si="41"/>
        <v>2.0137527074704766</v>
      </c>
      <c r="J89">
        <f t="shared" si="42"/>
        <v>1.9964950187572048</v>
      </c>
      <c r="K89">
        <f t="shared" si="43"/>
        <v>1.9487171000000012</v>
      </c>
      <c r="L89">
        <f t="shared" si="44"/>
        <v>1.9487171000000012</v>
      </c>
      <c r="M89" s="75">
        <f t="shared" si="45"/>
        <v>1.7000000000000002</v>
      </c>
      <c r="N89">
        <f t="shared" si="46"/>
        <v>-0.004292479826847939</v>
      </c>
      <c r="O89">
        <f t="shared" si="47"/>
        <v>-0.01657281443929698</v>
      </c>
      <c r="P89">
        <f t="shared" si="48"/>
        <v>-0.01657281443929698</v>
      </c>
      <c r="Q89" s="80">
        <f t="shared" si="35"/>
        <v>0</v>
      </c>
      <c r="R89" s="80">
        <f t="shared" si="36"/>
        <v>-0.01228033461244904</v>
      </c>
      <c r="S89" s="80">
        <f t="shared" si="37"/>
        <v>-0.01228033461244904</v>
      </c>
      <c r="T89" s="80">
        <f t="shared" si="38"/>
        <v>-0.07507717588694052</v>
      </c>
      <c r="U89" s="80">
        <f t="shared" si="39"/>
        <v>-0.0916499903262375</v>
      </c>
    </row>
    <row r="90" spans="1:21" ht="12.75">
      <c r="A90" s="75">
        <v>85</v>
      </c>
      <c r="B90" s="75">
        <f t="shared" si="20"/>
        <v>7.083333333333333</v>
      </c>
      <c r="C90">
        <f t="shared" si="21"/>
        <v>0.49246428767540973</v>
      </c>
      <c r="D90">
        <f t="shared" si="22"/>
        <v>0.49677204335124286</v>
      </c>
      <c r="E90">
        <f t="shared" si="23"/>
        <v>0.5090984953367477</v>
      </c>
      <c r="F90" s="45">
        <f t="shared" si="24"/>
        <v>0.5089171420469816</v>
      </c>
      <c r="G90" s="79">
        <f t="shared" si="40"/>
        <v>0.5853658536585366</v>
      </c>
      <c r="H90" s="75">
        <f t="shared" si="26"/>
        <v>0.29166666666666663</v>
      </c>
      <c r="I90">
        <f t="shared" si="41"/>
        <v>2.030604096634748</v>
      </c>
      <c r="J90">
        <f t="shared" si="42"/>
        <v>2.0129957258745126</v>
      </c>
      <c r="K90">
        <f t="shared" si="43"/>
        <v>1.964256443811607</v>
      </c>
      <c r="L90">
        <f t="shared" si="44"/>
        <v>1.964956409166668</v>
      </c>
      <c r="M90" s="75">
        <f t="shared" si="45"/>
        <v>1.7083333333333335</v>
      </c>
      <c r="N90">
        <f t="shared" si="46"/>
        <v>-0.004307755675833136</v>
      </c>
      <c r="O90">
        <f t="shared" si="47"/>
        <v>-0.01663420766133794</v>
      </c>
      <c r="P90">
        <f t="shared" si="48"/>
        <v>-0.016452854371571846</v>
      </c>
      <c r="Q90" s="80">
        <f t="shared" si="35"/>
        <v>-0.00018135328976609522</v>
      </c>
      <c r="R90" s="80">
        <f t="shared" si="36"/>
        <v>-0.01214509869573871</v>
      </c>
      <c r="S90" s="80">
        <f t="shared" si="37"/>
        <v>-0.012326451985504805</v>
      </c>
      <c r="T90" s="80">
        <f t="shared" si="38"/>
        <v>-0.07644871161155498</v>
      </c>
      <c r="U90" s="80">
        <f t="shared" si="39"/>
        <v>-0.09290156598312682</v>
      </c>
    </row>
    <row r="91" spans="1:21" ht="12.75">
      <c r="A91" s="75">
        <v>86</v>
      </c>
      <c r="B91" s="75">
        <f t="shared" si="20"/>
        <v>7.166666666666666</v>
      </c>
      <c r="C91">
        <f t="shared" si="21"/>
        <v>0.4883774706661871</v>
      </c>
      <c r="D91">
        <f t="shared" si="22"/>
        <v>0.4926999582066779</v>
      </c>
      <c r="E91">
        <f t="shared" si="23"/>
        <v>0.5050709883490868</v>
      </c>
      <c r="F91" s="45">
        <f t="shared" si="24"/>
        <v>0.50474569006299</v>
      </c>
      <c r="G91" s="79">
        <f t="shared" si="40"/>
        <v>0.5825242718446602</v>
      </c>
      <c r="H91" s="75">
        <f t="shared" si="26"/>
        <v>0.2833333333333333</v>
      </c>
      <c r="I91">
        <f t="shared" si="41"/>
        <v>2.047596500788453</v>
      </c>
      <c r="J91">
        <f t="shared" si="42"/>
        <v>2.0296328086565816</v>
      </c>
      <c r="K91">
        <f t="shared" si="43"/>
        <v>1.97991970053294</v>
      </c>
      <c r="L91">
        <f t="shared" si="44"/>
        <v>1.9811957183333344</v>
      </c>
      <c r="M91" s="75">
        <f t="shared" si="45"/>
        <v>1.7166666666666668</v>
      </c>
      <c r="N91">
        <f t="shared" si="46"/>
        <v>-0.004322487540490805</v>
      </c>
      <c r="O91">
        <f t="shared" si="47"/>
        <v>-0.016693517682899728</v>
      </c>
      <c r="P91">
        <f t="shared" si="48"/>
        <v>-0.016368219396802886</v>
      </c>
      <c r="Q91" s="80">
        <f t="shared" si="35"/>
        <v>-0.0003252982860968423</v>
      </c>
      <c r="R91" s="80">
        <f t="shared" si="36"/>
        <v>-0.01204573185631208</v>
      </c>
      <c r="S91" s="80">
        <f t="shared" si="37"/>
        <v>-0.012371030142408923</v>
      </c>
      <c r="T91" s="80">
        <f t="shared" si="38"/>
        <v>-0.07777858178167019</v>
      </c>
      <c r="U91" s="80">
        <f t="shared" si="39"/>
        <v>-0.09414680117847307</v>
      </c>
    </row>
    <row r="92" spans="1:21" ht="12.75">
      <c r="A92" s="75">
        <v>87</v>
      </c>
      <c r="B92" s="75">
        <f t="shared" si="20"/>
        <v>7.25</v>
      </c>
      <c r="C92">
        <f t="shared" si="21"/>
        <v>0.4843245689553624</v>
      </c>
      <c r="D92">
        <f t="shared" si="22"/>
        <v>0.48866125231049495</v>
      </c>
      <c r="E92">
        <f t="shared" si="23"/>
        <v>0.501075343196973</v>
      </c>
      <c r="F92" s="45">
        <f t="shared" si="24"/>
        <v>0.500642066566543</v>
      </c>
      <c r="G92" s="79">
        <f t="shared" si="40"/>
        <v>0.5797101449275363</v>
      </c>
      <c r="H92" s="75">
        <f t="shared" si="26"/>
        <v>0.2749999999999999</v>
      </c>
      <c r="I92">
        <f t="shared" si="41"/>
        <v>2.0647310999664867</v>
      </c>
      <c r="J92">
        <f t="shared" si="42"/>
        <v>2.046407394226135</v>
      </c>
      <c r="K92">
        <f t="shared" si="43"/>
        <v>1.9957078582629428</v>
      </c>
      <c r="L92">
        <f t="shared" si="44"/>
        <v>1.9974350275000008</v>
      </c>
      <c r="M92" s="75">
        <f t="shared" si="45"/>
        <v>1.7249999999999999</v>
      </c>
      <c r="N92">
        <f t="shared" si="46"/>
        <v>-0.004336683355132542</v>
      </c>
      <c r="O92">
        <f t="shared" si="47"/>
        <v>-0.01675077424161059</v>
      </c>
      <c r="P92">
        <f t="shared" si="48"/>
        <v>-0.016317497611180565</v>
      </c>
      <c r="Q92" s="80">
        <f t="shared" si="35"/>
        <v>-0.00043327663043002396</v>
      </c>
      <c r="R92" s="80">
        <f t="shared" si="36"/>
        <v>-0.011980814256048022</v>
      </c>
      <c r="S92" s="80">
        <f t="shared" si="37"/>
        <v>-0.012414090886478046</v>
      </c>
      <c r="T92" s="80">
        <f t="shared" si="38"/>
        <v>-0.07906807836099328</v>
      </c>
      <c r="U92" s="80">
        <f t="shared" si="39"/>
        <v>-0.09538557597217384</v>
      </c>
    </row>
    <row r="93" spans="1:21" ht="12.75">
      <c r="A93" s="75">
        <v>88</v>
      </c>
      <c r="B93" s="75">
        <f t="shared" si="20"/>
        <v>7.333333333333333</v>
      </c>
      <c r="C93">
        <f t="shared" si="21"/>
        <v>0.48030530108979935</v>
      </c>
      <c r="D93">
        <f t="shared" si="22"/>
        <v>0.484655652049993</v>
      </c>
      <c r="E93">
        <f t="shared" si="23"/>
        <v>0.4971113078196234</v>
      </c>
      <c r="F93" s="45">
        <f t="shared" si="24"/>
        <v>0.496604630545845</v>
      </c>
      <c r="G93" s="79">
        <f t="shared" si="40"/>
        <v>0.5769230769230769</v>
      </c>
      <c r="H93" s="75">
        <f t="shared" si="26"/>
        <v>0.2666666666666666</v>
      </c>
      <c r="I93">
        <f t="shared" si="41"/>
        <v>2.0820090840784555</v>
      </c>
      <c r="J93">
        <f t="shared" si="42"/>
        <v>2.0633206190213755</v>
      </c>
      <c r="K93">
        <f t="shared" si="43"/>
        <v>2.011621912979798</v>
      </c>
      <c r="L93">
        <f t="shared" si="44"/>
        <v>2.0136743366666674</v>
      </c>
      <c r="M93" s="75">
        <f t="shared" si="45"/>
        <v>1.7333333333333334</v>
      </c>
      <c r="N93">
        <f t="shared" si="46"/>
        <v>-0.00435035096019365</v>
      </c>
      <c r="O93">
        <f t="shared" si="47"/>
        <v>-0.016806006729824075</v>
      </c>
      <c r="P93">
        <f t="shared" si="48"/>
        <v>-0.016299329456045675</v>
      </c>
      <c r="Q93" s="80">
        <f t="shared" si="35"/>
        <v>-0.0005066772737783998</v>
      </c>
      <c r="R93" s="80">
        <f t="shared" si="36"/>
        <v>-0.011948978495852025</v>
      </c>
      <c r="S93" s="80">
        <f t="shared" si="37"/>
        <v>-0.012455655769630425</v>
      </c>
      <c r="T93" s="80">
        <f t="shared" si="38"/>
        <v>-0.08031844637723184</v>
      </c>
      <c r="U93" s="80">
        <f t="shared" si="39"/>
        <v>-0.09661777583327752</v>
      </c>
    </row>
    <row r="94" spans="1:21" ht="12.75">
      <c r="A94" s="75">
        <v>89</v>
      </c>
      <c r="B94" s="75">
        <f t="shared" si="20"/>
        <v>7.416666666666666</v>
      </c>
      <c r="C94">
        <f t="shared" si="21"/>
        <v>0.4763193879520585</v>
      </c>
      <c r="D94">
        <f t="shared" si="22"/>
        <v>0.48068288605529547</v>
      </c>
      <c r="E94">
        <f t="shared" si="23"/>
        <v>0.49317863215032204</v>
      </c>
      <c r="F94" s="45">
        <f t="shared" si="24"/>
        <v>0.4926317935014783</v>
      </c>
      <c r="G94" s="79">
        <f t="shared" si="40"/>
        <v>0.5741626794258373</v>
      </c>
      <c r="H94" s="75">
        <f t="shared" si="26"/>
        <v>0.2583333333333333</v>
      </c>
      <c r="I94">
        <f t="shared" si="41"/>
        <v>2.0994316529913113</v>
      </c>
      <c r="J94">
        <f t="shared" si="42"/>
        <v>2.080373628872996</v>
      </c>
      <c r="K94">
        <f t="shared" si="43"/>
        <v>2.027662868603759</v>
      </c>
      <c r="L94">
        <f t="shared" si="44"/>
        <v>2.029913645833334</v>
      </c>
      <c r="M94" s="75">
        <f t="shared" si="45"/>
        <v>1.7416666666666667</v>
      </c>
      <c r="N94">
        <f t="shared" si="46"/>
        <v>-0.00436349810323694</v>
      </c>
      <c r="O94">
        <f t="shared" si="47"/>
        <v>-0.016859244198263512</v>
      </c>
      <c r="P94">
        <f t="shared" si="48"/>
        <v>-0.01631240554941976</v>
      </c>
      <c r="Q94" s="80">
        <f t="shared" si="35"/>
        <v>-0.0005468386488437504</v>
      </c>
      <c r="R94" s="80">
        <f t="shared" si="36"/>
        <v>-0.011948907446182822</v>
      </c>
      <c r="S94" s="80">
        <f t="shared" si="37"/>
        <v>-0.012495746095026572</v>
      </c>
      <c r="T94" s="80">
        <f t="shared" si="38"/>
        <v>-0.08153088592435903</v>
      </c>
      <c r="U94" s="80">
        <f t="shared" si="39"/>
        <v>-0.09784329147377879</v>
      </c>
    </row>
    <row r="95" spans="1:21" ht="12.75">
      <c r="A95" s="75">
        <v>90</v>
      </c>
      <c r="B95" s="75">
        <f t="shared" si="20"/>
        <v>7.5</v>
      </c>
      <c r="C95">
        <f t="shared" si="21"/>
        <v>0.4723665527410147</v>
      </c>
      <c r="D95">
        <f t="shared" si="22"/>
        <v>0.47674268518097085</v>
      </c>
      <c r="E95">
        <f t="shared" si="23"/>
        <v>0.48927706810064514</v>
      </c>
      <c r="F95" s="45">
        <f t="shared" si="24"/>
        <v>0.48872201736257753</v>
      </c>
      <c r="G95" s="79">
        <f t="shared" si="40"/>
        <v>0.5714285714285714</v>
      </c>
      <c r="H95" s="75">
        <f t="shared" si="26"/>
        <v>0.25</v>
      </c>
      <c r="I95">
        <f t="shared" si="41"/>
        <v>2.117000016612675</v>
      </c>
      <c r="J95">
        <f t="shared" si="42"/>
        <v>2.097567579081788</v>
      </c>
      <c r="K95">
        <f t="shared" si="43"/>
        <v>2.0438317370604793</v>
      </c>
      <c r="L95">
        <f t="shared" si="44"/>
        <v>2.0461529550000015</v>
      </c>
      <c r="M95" s="75">
        <f t="shared" si="45"/>
        <v>1.75</v>
      </c>
      <c r="N95">
        <f t="shared" si="46"/>
        <v>-0.00437613243995616</v>
      </c>
      <c r="O95">
        <f t="shared" si="47"/>
        <v>-0.01691051535963045</v>
      </c>
      <c r="P95">
        <f t="shared" si="48"/>
        <v>-0.016355464621562843</v>
      </c>
      <c r="Q95" s="80">
        <f t="shared" si="35"/>
        <v>-0.0005550507380676084</v>
      </c>
      <c r="R95" s="80">
        <f t="shared" si="36"/>
        <v>-0.011979332181606683</v>
      </c>
      <c r="S95" s="80">
        <f t="shared" si="37"/>
        <v>-0.012534382919674292</v>
      </c>
      <c r="T95" s="80">
        <f t="shared" si="38"/>
        <v>-0.08270655406599386</v>
      </c>
      <c r="U95" s="80">
        <f t="shared" si="39"/>
        <v>-0.09906201868755671</v>
      </c>
    </row>
    <row r="96" spans="1:21" ht="12.75">
      <c r="A96" s="75">
        <v>91</v>
      </c>
      <c r="B96" s="75">
        <f t="shared" si="20"/>
        <v>7.583333333333333</v>
      </c>
      <c r="C96">
        <f t="shared" si="21"/>
        <v>0.46844652095263406</v>
      </c>
      <c r="D96">
        <f t="shared" si="22"/>
        <v>0.47283478248779814</v>
      </c>
      <c r="E96">
        <f t="shared" si="23"/>
        <v>0.4854063695448106</v>
      </c>
      <c r="F96" s="45">
        <f t="shared" si="24"/>
        <v>0.4848738125014549</v>
      </c>
      <c r="G96" s="79">
        <f t="shared" si="40"/>
        <v>0.5687203791469194</v>
      </c>
      <c r="H96" s="75">
        <f t="shared" si="26"/>
        <v>0.2416666666666667</v>
      </c>
      <c r="I96">
        <f t="shared" si="41"/>
        <v>2.134715394974857</v>
      </c>
      <c r="J96">
        <f t="shared" si="42"/>
        <v>2.1149036344969097</v>
      </c>
      <c r="K96">
        <f t="shared" si="43"/>
        <v>2.0601295383448495</v>
      </c>
      <c r="L96">
        <f t="shared" si="44"/>
        <v>2.062392264166668</v>
      </c>
      <c r="M96" s="75">
        <f t="shared" si="45"/>
        <v>1.7583333333333333</v>
      </c>
      <c r="N96">
        <f t="shared" si="46"/>
        <v>-0.004388261535164084</v>
      </c>
      <c r="O96">
        <f t="shared" si="47"/>
        <v>-0.01695984859217653</v>
      </c>
      <c r="P96">
        <f t="shared" si="48"/>
        <v>-0.016427291548820833</v>
      </c>
      <c r="Q96" s="80">
        <f t="shared" si="35"/>
        <v>-0.000532557043355697</v>
      </c>
      <c r="R96" s="80">
        <f t="shared" si="36"/>
        <v>-0.012039030013656749</v>
      </c>
      <c r="S96" s="80">
        <f t="shared" si="37"/>
        <v>-0.012571587057012445</v>
      </c>
      <c r="T96" s="80">
        <f t="shared" si="38"/>
        <v>-0.08384656664546453</v>
      </c>
      <c r="U96" s="80">
        <f t="shared" si="39"/>
        <v>-0.10027385819428536</v>
      </c>
    </row>
    <row r="97" spans="1:21" ht="12.75">
      <c r="A97" s="75">
        <v>92</v>
      </c>
      <c r="B97" s="75">
        <f t="shared" si="20"/>
        <v>7.666666666666666</v>
      </c>
      <c r="C97">
        <f t="shared" si="21"/>
        <v>0.4645590203609115</v>
      </c>
      <c r="D97">
        <f t="shared" si="22"/>
        <v>0.46895891322467864</v>
      </c>
      <c r="E97">
        <f t="shared" si="23"/>
        <v>0.48156629230415066</v>
      </c>
      <c r="F97" s="45">
        <f t="shared" si="24"/>
        <v>0.4810857358412873</v>
      </c>
      <c r="G97" s="79">
        <f t="shared" si="40"/>
        <v>0.5660377358490566</v>
      </c>
      <c r="H97" s="75">
        <f t="shared" si="26"/>
        <v>0.2333333333333334</v>
      </c>
      <c r="I97">
        <f t="shared" si="41"/>
        <v>2.152579018319587</v>
      </c>
      <c r="J97">
        <f t="shared" si="42"/>
        <v>2.1323829695948207</v>
      </c>
      <c r="K97">
        <f t="shared" si="43"/>
        <v>2.0765573005853444</v>
      </c>
      <c r="L97">
        <f t="shared" si="44"/>
        <v>2.0786315733333347</v>
      </c>
      <c r="M97" s="75">
        <f t="shared" si="45"/>
        <v>1.7666666666666666</v>
      </c>
      <c r="N97">
        <f t="shared" si="46"/>
        <v>-0.00439989286376713</v>
      </c>
      <c r="O97">
        <f t="shared" si="47"/>
        <v>-0.017007271943239144</v>
      </c>
      <c r="P97">
        <f t="shared" si="48"/>
        <v>-0.016526715480375764</v>
      </c>
      <c r="Q97" s="80">
        <f t="shared" si="35"/>
        <v>-0.0004805564628633796</v>
      </c>
      <c r="R97" s="80">
        <f t="shared" si="36"/>
        <v>-0.012126822616608635</v>
      </c>
      <c r="S97" s="80">
        <f t="shared" si="37"/>
        <v>-0.012607379079472014</v>
      </c>
      <c r="T97" s="80">
        <f t="shared" si="38"/>
        <v>-0.08495200000776931</v>
      </c>
      <c r="U97" s="80">
        <f t="shared" si="39"/>
        <v>-0.10147871548814508</v>
      </c>
    </row>
    <row r="98" spans="1:21" ht="12.75">
      <c r="A98" s="75">
        <v>93</v>
      </c>
      <c r="B98" s="75">
        <f t="shared" si="20"/>
        <v>7.75</v>
      </c>
      <c r="C98">
        <f t="shared" si="21"/>
        <v>0.4607037809989658</v>
      </c>
      <c r="D98">
        <f t="shared" si="22"/>
        <v>0.4651148148107031</v>
      </c>
      <c r="E98">
        <f t="shared" si="23"/>
        <v>0.4777565941317096</v>
      </c>
      <c r="F98" s="45">
        <f t="shared" si="24"/>
        <v>0.47735638905181993</v>
      </c>
      <c r="G98" s="79">
        <f t="shared" si="40"/>
        <v>0.5633802816901409</v>
      </c>
      <c r="H98" s="75">
        <f t="shared" si="26"/>
        <v>0.22499999999999998</v>
      </c>
      <c r="I98">
        <f t="shared" si="41"/>
        <v>2.1705921271834425</v>
      </c>
      <c r="J98">
        <f t="shared" si="42"/>
        <v>2.1500067685588333</v>
      </c>
      <c r="K98">
        <f t="shared" si="43"/>
        <v>2.093116060108877</v>
      </c>
      <c r="L98">
        <f t="shared" si="44"/>
        <v>2.0948708825000013</v>
      </c>
      <c r="M98" s="75">
        <f t="shared" si="45"/>
        <v>1.775</v>
      </c>
      <c r="N98">
        <f t="shared" si="46"/>
        <v>-0.004411033811737297</v>
      </c>
      <c r="O98">
        <f t="shared" si="47"/>
        <v>-0.017052813132743816</v>
      </c>
      <c r="P98">
        <f t="shared" si="48"/>
        <v>-0.016652608052854123</v>
      </c>
      <c r="Q98" s="80">
        <f t="shared" si="35"/>
        <v>-0.0004002050798896928</v>
      </c>
      <c r="R98" s="80">
        <f t="shared" si="36"/>
        <v>-0.012241574241116826</v>
      </c>
      <c r="S98" s="80">
        <f t="shared" si="37"/>
        <v>-0.012641779321006519</v>
      </c>
      <c r="T98" s="80">
        <f t="shared" si="38"/>
        <v>-0.08602389263832094</v>
      </c>
      <c r="U98" s="80">
        <f t="shared" si="39"/>
        <v>-0.10267650069117507</v>
      </c>
    </row>
    <row r="99" spans="1:21" ht="12.75">
      <c r="A99" s="75">
        <v>94</v>
      </c>
      <c r="B99" s="75">
        <f t="shared" si="20"/>
        <v>7.833333333333333</v>
      </c>
      <c r="C99">
        <f t="shared" si="21"/>
        <v>0.45688053514029203</v>
      </c>
      <c r="D99">
        <f t="shared" si="22"/>
        <v>0.4613022268173641</v>
      </c>
      <c r="E99">
        <f t="shared" si="23"/>
        <v>0.4739770346969607</v>
      </c>
      <c r="F99" s="45">
        <f t="shared" si="24"/>
        <v>0.47368441682834445</v>
      </c>
      <c r="G99" s="79">
        <f t="shared" si="40"/>
        <v>0.5607476635514019</v>
      </c>
      <c r="H99" s="75">
        <f t="shared" si="26"/>
        <v>0.21666666666666667</v>
      </c>
      <c r="I99">
        <f t="shared" si="41"/>
        <v>2.1887559724839996</v>
      </c>
      <c r="J99">
        <f t="shared" si="42"/>
        <v>2.167776225359332</v>
      </c>
      <c r="K99">
        <f t="shared" si="43"/>
        <v>2.109806861506179</v>
      </c>
      <c r="L99">
        <f t="shared" si="44"/>
        <v>2.111110191666668</v>
      </c>
      <c r="M99" s="75">
        <f t="shared" si="45"/>
        <v>1.7833333333333332</v>
      </c>
      <c r="N99">
        <f t="shared" si="46"/>
        <v>-0.0044216916770720704</v>
      </c>
      <c r="O99">
        <f t="shared" si="47"/>
        <v>-0.017096499556668643</v>
      </c>
      <c r="P99">
        <f t="shared" si="48"/>
        <v>-0.016803881688052413</v>
      </c>
      <c r="Q99" s="80">
        <f t="shared" si="35"/>
        <v>-0.0002926178686162295</v>
      </c>
      <c r="R99" s="80">
        <f t="shared" si="36"/>
        <v>-0.012382190010980343</v>
      </c>
      <c r="S99" s="80">
        <f t="shared" si="37"/>
        <v>-0.012674807879596572</v>
      </c>
      <c r="T99" s="80">
        <f t="shared" si="38"/>
        <v>-0.08706324672305749</v>
      </c>
      <c r="U99" s="80">
        <f t="shared" si="39"/>
        <v>-0.1038671284111099</v>
      </c>
    </row>
    <row r="100" spans="1:21" ht="12.75">
      <c r="A100" s="75">
        <v>95</v>
      </c>
      <c r="B100" s="75">
        <f t="shared" si="20"/>
        <v>7.916666666666666</v>
      </c>
      <c r="C100">
        <f t="shared" si="21"/>
        <v>0.453089017280169</v>
      </c>
      <c r="D100">
        <f t="shared" si="22"/>
        <v>0.457520890950906</v>
      </c>
      <c r="E100">
        <f t="shared" si="23"/>
        <v>0.47022737557064553</v>
      </c>
      <c r="F100" s="45">
        <f t="shared" si="24"/>
        <v>0.4700685052495021</v>
      </c>
      <c r="G100" s="79">
        <f t="shared" si="40"/>
        <v>0.5581395348837209</v>
      </c>
      <c r="H100" s="75">
        <f t="shared" si="26"/>
        <v>0.20833333333333337</v>
      </c>
      <c r="I100">
        <f t="shared" si="41"/>
        <v>2.2070718156067044</v>
      </c>
      <c r="J100">
        <f t="shared" si="42"/>
        <v>2.185692543834691</v>
      </c>
      <c r="K100">
        <f t="shared" si="43"/>
        <v>2.126630757697694</v>
      </c>
      <c r="L100">
        <f t="shared" si="44"/>
        <v>2.1273495008333345</v>
      </c>
      <c r="M100" s="75">
        <f t="shared" si="45"/>
        <v>1.7916666666666667</v>
      </c>
      <c r="N100">
        <f t="shared" si="46"/>
        <v>-0.0044318736707369966</v>
      </c>
      <c r="O100">
        <f t="shared" si="47"/>
        <v>-0.017138358290476552</v>
      </c>
      <c r="P100">
        <f t="shared" si="48"/>
        <v>-0.01697948796933313</v>
      </c>
      <c r="Q100" s="80">
        <f t="shared" si="35"/>
        <v>-0.0001588703211434228</v>
      </c>
      <c r="R100" s="80">
        <f t="shared" si="36"/>
        <v>-0.012547614298596133</v>
      </c>
      <c r="S100" s="80">
        <f t="shared" si="37"/>
        <v>-0.012706484619739555</v>
      </c>
      <c r="T100" s="80">
        <f t="shared" si="38"/>
        <v>-0.08807102963421881</v>
      </c>
      <c r="U100" s="80">
        <f t="shared" si="39"/>
        <v>-0.10505051760355194</v>
      </c>
    </row>
    <row r="101" spans="1:21" ht="12.75">
      <c r="A101" s="75">
        <v>96</v>
      </c>
      <c r="B101" s="75">
        <f t="shared" si="20"/>
        <v>8</v>
      </c>
      <c r="C101">
        <f t="shared" si="21"/>
        <v>0.44932896411722156</v>
      </c>
      <c r="D101">
        <f t="shared" si="22"/>
        <v>0.4537705510348324</v>
      </c>
      <c r="E101">
        <f t="shared" si="23"/>
        <v>0.46650738020973315</v>
      </c>
      <c r="F101" s="45">
        <f t="shared" si="24"/>
        <v>0.46650738020973315</v>
      </c>
      <c r="G101" s="79">
        <f t="shared" si="40"/>
        <v>0.5555555555555556</v>
      </c>
      <c r="H101" s="75">
        <f t="shared" si="26"/>
        <v>0.19999999999999996</v>
      </c>
      <c r="I101">
        <f t="shared" si="41"/>
        <v>2.225540928492468</v>
      </c>
      <c r="J101">
        <f t="shared" si="42"/>
        <v>2.2037569377728037</v>
      </c>
      <c r="K101">
        <f t="shared" si="43"/>
        <v>2.143588810000001</v>
      </c>
      <c r="L101">
        <f t="shared" si="44"/>
        <v>2.143588810000001</v>
      </c>
      <c r="M101" s="75">
        <f t="shared" si="45"/>
        <v>1.7999999999999998</v>
      </c>
      <c r="N101">
        <f t="shared" si="46"/>
        <v>-0.004441586917610818</v>
      </c>
      <c r="O101">
        <f t="shared" si="47"/>
        <v>-0.017178416092511584</v>
      </c>
      <c r="P101">
        <f t="shared" si="48"/>
        <v>-0.017178416092511584</v>
      </c>
      <c r="Q101" s="80">
        <f t="shared" si="35"/>
        <v>0</v>
      </c>
      <c r="R101" s="80">
        <f t="shared" si="36"/>
        <v>-0.012736829174900766</v>
      </c>
      <c r="S101" s="80">
        <f t="shared" si="37"/>
        <v>-0.012736829174900766</v>
      </c>
      <c r="T101" s="80">
        <f t="shared" si="38"/>
        <v>-0.08904817534582243</v>
      </c>
      <c r="U101" s="80">
        <f t="shared" si="39"/>
        <v>-0.10622659143833402</v>
      </c>
    </row>
    <row r="102" spans="1:21" ht="12.75">
      <c r="A102" s="75">
        <v>97</v>
      </c>
      <c r="B102" s="75">
        <f t="shared" si="20"/>
        <v>8.083333333333332</v>
      </c>
      <c r="C102">
        <f t="shared" si="21"/>
        <v>0.4456001145351358</v>
      </c>
      <c r="D102">
        <f t="shared" si="22"/>
        <v>0.4500509529925505</v>
      </c>
      <c r="E102">
        <f t="shared" si="23"/>
        <v>0.4628168139424979</v>
      </c>
      <c r="F102" s="45">
        <f t="shared" si="24"/>
        <v>0.46265194731543785</v>
      </c>
      <c r="G102" s="79">
        <f t="shared" si="40"/>
        <v>0.5529953917050692</v>
      </c>
      <c r="H102" s="75">
        <f t="shared" si="26"/>
        <v>0.19166666666666676</v>
      </c>
      <c r="I102">
        <f t="shared" si="41"/>
        <v>2.244164593725995</v>
      </c>
      <c r="J102">
        <f t="shared" si="42"/>
        <v>2.2219706309933147</v>
      </c>
      <c r="K102">
        <f t="shared" si="43"/>
        <v>2.1606820881927677</v>
      </c>
      <c r="L102">
        <f t="shared" si="44"/>
        <v>2.1614520500833345</v>
      </c>
      <c r="M102" s="75">
        <f t="shared" si="45"/>
        <v>1.8083333333333331</v>
      </c>
      <c r="N102">
        <f t="shared" si="46"/>
        <v>-0.004450838457414674</v>
      </c>
      <c r="O102">
        <f t="shared" si="47"/>
        <v>-0.01721669940736209</v>
      </c>
      <c r="P102">
        <f t="shared" si="48"/>
        <v>-0.017051832780302034</v>
      </c>
      <c r="Q102" s="80">
        <f t="shared" si="35"/>
        <v>-0.00016486662706005628</v>
      </c>
      <c r="R102" s="80">
        <f t="shared" si="36"/>
        <v>-0.01260099432288736</v>
      </c>
      <c r="S102" s="80">
        <f t="shared" si="37"/>
        <v>-0.012765860949947416</v>
      </c>
      <c r="T102" s="80">
        <f t="shared" si="38"/>
        <v>-0.09034344438963132</v>
      </c>
      <c r="U102" s="80">
        <f t="shared" si="39"/>
        <v>-0.10739527716993336</v>
      </c>
    </row>
    <row r="103" spans="1:21" ht="12.75">
      <c r="A103" s="75">
        <v>98</v>
      </c>
      <c r="B103" s="75">
        <f t="shared" si="20"/>
        <v>8.166666666666666</v>
      </c>
      <c r="C103">
        <f t="shared" si="21"/>
        <v>0.4419022095845253</v>
      </c>
      <c r="D103">
        <f t="shared" si="22"/>
        <v>0.4463618448301523</v>
      </c>
      <c r="E103">
        <f t="shared" si="23"/>
        <v>0.45915544395371527</v>
      </c>
      <c r="F103" s="45">
        <f t="shared" si="24"/>
        <v>0.45885971823908184</v>
      </c>
      <c r="G103" s="79">
        <f t="shared" si="40"/>
        <v>0.5504587155963303</v>
      </c>
      <c r="H103" s="75">
        <f t="shared" si="26"/>
        <v>0.18333333333333335</v>
      </c>
      <c r="I103">
        <f t="shared" si="41"/>
        <v>2.262944104624858</v>
      </c>
      <c r="J103">
        <f t="shared" si="42"/>
        <v>2.240334857430558</v>
      </c>
      <c r="K103">
        <f t="shared" si="43"/>
        <v>2.177911670586234</v>
      </c>
      <c r="L103">
        <f t="shared" si="44"/>
        <v>2.1793152901666675</v>
      </c>
      <c r="M103" s="75">
        <f t="shared" si="45"/>
        <v>1.8166666666666667</v>
      </c>
      <c r="N103">
        <f t="shared" si="46"/>
        <v>-0.0044596352456269805</v>
      </c>
      <c r="O103">
        <f t="shared" si="47"/>
        <v>-0.017253234369189963</v>
      </c>
      <c r="P103">
        <f t="shared" si="48"/>
        <v>-0.01695750865455653</v>
      </c>
      <c r="Q103" s="80">
        <f t="shared" si="35"/>
        <v>-0.00029572571463343245</v>
      </c>
      <c r="R103" s="80">
        <f t="shared" si="36"/>
        <v>-0.01249787340892955</v>
      </c>
      <c r="S103" s="80">
        <f t="shared" si="37"/>
        <v>-0.012793599123562982</v>
      </c>
      <c r="T103" s="80">
        <f t="shared" si="38"/>
        <v>-0.09159899735724847</v>
      </c>
      <c r="U103" s="80">
        <f t="shared" si="39"/>
        <v>-0.108556506011805</v>
      </c>
    </row>
    <row r="104" spans="1:21" ht="12.75">
      <c r="A104" s="75">
        <v>99</v>
      </c>
      <c r="B104" s="75">
        <f t="shared" si="20"/>
        <v>8.25</v>
      </c>
      <c r="C104">
        <f t="shared" si="21"/>
        <v>0.4382349924649492</v>
      </c>
      <c r="D104">
        <f t="shared" si="22"/>
        <v>0.4427029766193487</v>
      </c>
      <c r="E104">
        <f t="shared" si="23"/>
        <v>0.45552303926997545</v>
      </c>
      <c r="F104" s="45">
        <f t="shared" si="24"/>
        <v>0.45512915142412996</v>
      </c>
      <c r="G104" s="79">
        <f t="shared" si="40"/>
        <v>0.547945205479452</v>
      </c>
      <c r="H104" s="75">
        <f t="shared" si="26"/>
        <v>0.17499999999999993</v>
      </c>
      <c r="I104">
        <f t="shared" si="41"/>
        <v>2.281880765329304</v>
      </c>
      <c r="J104">
        <f t="shared" si="42"/>
        <v>2.2588508612171236</v>
      </c>
      <c r="K104">
        <f t="shared" si="43"/>
        <v>2.195278644089237</v>
      </c>
      <c r="L104">
        <f t="shared" si="44"/>
        <v>2.197178530250001</v>
      </c>
      <c r="M104" s="75">
        <f t="shared" si="45"/>
        <v>1.8250000000000002</v>
      </c>
      <c r="N104">
        <f t="shared" si="46"/>
        <v>-0.004467984154399529</v>
      </c>
      <c r="O104">
        <f t="shared" si="47"/>
        <v>-0.01728804680502627</v>
      </c>
      <c r="P104">
        <f t="shared" si="48"/>
        <v>-0.016894158959180783</v>
      </c>
      <c r="Q104" s="80">
        <f t="shared" si="35"/>
        <v>-0.0003938878458454864</v>
      </c>
      <c r="R104" s="80">
        <f t="shared" si="36"/>
        <v>-0.012426174804781254</v>
      </c>
      <c r="S104" s="80">
        <f t="shared" si="37"/>
        <v>-0.01282006265062674</v>
      </c>
      <c r="T104" s="80">
        <f t="shared" si="38"/>
        <v>-0.09281605405532206</v>
      </c>
      <c r="U104" s="80">
        <f t="shared" si="39"/>
        <v>-0.10971021301450284</v>
      </c>
    </row>
    <row r="105" spans="1:21" ht="12.75">
      <c r="A105" s="75">
        <v>100</v>
      </c>
      <c r="B105" s="75">
        <f t="shared" si="20"/>
        <v>8.333333333333332</v>
      </c>
      <c r="C105">
        <f t="shared" si="21"/>
        <v>0.43459820850707825</v>
      </c>
      <c r="D105">
        <f t="shared" si="22"/>
        <v>0.439074100480537</v>
      </c>
      <c r="E105">
        <f t="shared" si="23"/>
        <v>0.4519193707451121</v>
      </c>
      <c r="F105" s="45">
        <f t="shared" si="24"/>
        <v>0.4514587550416773</v>
      </c>
      <c r="G105" s="79">
        <f t="shared" si="40"/>
        <v>0.5454545454545455</v>
      </c>
      <c r="H105" s="75">
        <f t="shared" si="26"/>
        <v>0.16666666666666674</v>
      </c>
      <c r="I105">
        <f t="shared" si="41"/>
        <v>2.3009758908928246</v>
      </c>
      <c r="J105">
        <f t="shared" si="42"/>
        <v>2.2775198967681476</v>
      </c>
      <c r="K105">
        <f t="shared" si="43"/>
        <v>2.212784104277778</v>
      </c>
      <c r="L105">
        <f t="shared" si="44"/>
        <v>2.2150417703333343</v>
      </c>
      <c r="M105" s="75">
        <f t="shared" si="45"/>
        <v>1.833333333333333</v>
      </c>
      <c r="N105">
        <f t="shared" si="46"/>
        <v>-0.004475891973458768</v>
      </c>
      <c r="O105">
        <f t="shared" si="47"/>
        <v>-0.01732116223803387</v>
      </c>
      <c r="P105">
        <f t="shared" si="48"/>
        <v>-0.016860546534599063</v>
      </c>
      <c r="Q105" s="80">
        <f t="shared" si="35"/>
        <v>-0.00046061570343480795</v>
      </c>
      <c r="R105" s="80">
        <f t="shared" si="36"/>
        <v>-0.012384654561140296</v>
      </c>
      <c r="S105" s="80">
        <f t="shared" si="37"/>
        <v>-0.012845270264575104</v>
      </c>
      <c r="T105" s="80">
        <f t="shared" si="38"/>
        <v>-0.09399579041286821</v>
      </c>
      <c r="U105" s="80">
        <f t="shared" si="39"/>
        <v>-0.11085633694746727</v>
      </c>
    </row>
    <row r="106" spans="1:21" ht="12.75">
      <c r="A106" s="75">
        <v>101</v>
      </c>
      <c r="B106" s="75">
        <f t="shared" si="20"/>
        <v>8.416666666666666</v>
      </c>
      <c r="C106">
        <f t="shared" si="21"/>
        <v>0.4309916051550092</v>
      </c>
      <c r="D106">
        <f t="shared" si="22"/>
        <v>0.43547497056600226</v>
      </c>
      <c r="E106">
        <f t="shared" si="23"/>
        <v>0.4483442110457473</v>
      </c>
      <c r="F106" s="45">
        <f t="shared" si="24"/>
        <v>0.4478470850013439</v>
      </c>
      <c r="G106" s="79">
        <f t="shared" si="40"/>
        <v>0.5429864253393665</v>
      </c>
      <c r="H106" s="75">
        <f t="shared" si="26"/>
        <v>0.15833333333333333</v>
      </c>
      <c r="I106">
        <f t="shared" si="41"/>
        <v>2.320230807373482</v>
      </c>
      <c r="J106">
        <f t="shared" si="42"/>
        <v>2.2963432288663217</v>
      </c>
      <c r="K106">
        <f t="shared" si="43"/>
        <v>2.230429155464135</v>
      </c>
      <c r="L106">
        <f t="shared" si="44"/>
        <v>2.2329050104166677</v>
      </c>
      <c r="M106" s="75">
        <f t="shared" si="45"/>
        <v>1.8416666666666668</v>
      </c>
      <c r="N106">
        <f t="shared" si="46"/>
        <v>-0.004483365410993034</v>
      </c>
      <c r="O106">
        <f t="shared" si="47"/>
        <v>-0.01735260589073806</v>
      </c>
      <c r="P106">
        <f t="shared" si="48"/>
        <v>-0.016855479846334676</v>
      </c>
      <c r="Q106" s="80">
        <f t="shared" si="35"/>
        <v>-0.0004971260444033843</v>
      </c>
      <c r="R106" s="80">
        <f t="shared" si="36"/>
        <v>-0.012372114435341641</v>
      </c>
      <c r="S106" s="80">
        <f t="shared" si="37"/>
        <v>-0.012869240479745025</v>
      </c>
      <c r="T106" s="80">
        <f t="shared" si="38"/>
        <v>-0.09513934033802257</v>
      </c>
      <c r="U106" s="80">
        <f t="shared" si="39"/>
        <v>-0.11199482018435725</v>
      </c>
    </row>
    <row r="107" spans="1:21" ht="12.75">
      <c r="A107" s="75">
        <v>102</v>
      </c>
      <c r="B107" s="75">
        <f t="shared" si="20"/>
        <v>8.5</v>
      </c>
      <c r="C107">
        <f t="shared" si="21"/>
        <v>0.42741493194872665</v>
      </c>
      <c r="D107">
        <f t="shared" si="22"/>
        <v>0.43190534304326705</v>
      </c>
      <c r="E107">
        <f t="shared" si="23"/>
        <v>0.4447973346369501</v>
      </c>
      <c r="F107" s="45">
        <f t="shared" si="24"/>
        <v>0.4442927430568887</v>
      </c>
      <c r="G107" s="79">
        <f t="shared" si="40"/>
        <v>0.5405405405405405</v>
      </c>
      <c r="H107" s="75">
        <f t="shared" si="26"/>
        <v>0.1499999999999999</v>
      </c>
      <c r="I107">
        <f t="shared" si="41"/>
        <v>2.339646851925991</v>
      </c>
      <c r="J107">
        <f t="shared" si="42"/>
        <v>2.3153221327475517</v>
      </c>
      <c r="K107">
        <f t="shared" si="43"/>
        <v>2.2482149107665275</v>
      </c>
      <c r="L107">
        <f t="shared" si="44"/>
        <v>2.2507682505000015</v>
      </c>
      <c r="M107" s="75">
        <f t="shared" si="45"/>
        <v>1.8500000000000003</v>
      </c>
      <c r="N107">
        <f t="shared" si="46"/>
        <v>-0.004490411094540403</v>
      </c>
      <c r="O107">
        <f t="shared" si="47"/>
        <v>-0.01738240268822344</v>
      </c>
      <c r="P107">
        <f t="shared" si="48"/>
        <v>-0.016877811108162055</v>
      </c>
      <c r="Q107" s="80">
        <f t="shared" si="35"/>
        <v>-0.0005045915800613865</v>
      </c>
      <c r="R107" s="80">
        <f t="shared" si="36"/>
        <v>-0.012387400013621652</v>
      </c>
      <c r="S107" s="80">
        <f t="shared" si="37"/>
        <v>-0.012891991593683039</v>
      </c>
      <c r="T107" s="80">
        <f t="shared" si="38"/>
        <v>-0.09624779748365175</v>
      </c>
      <c r="U107" s="80">
        <f t="shared" si="39"/>
        <v>-0.11312560859181381</v>
      </c>
    </row>
    <row r="108" spans="1:21" ht="12.75">
      <c r="A108" s="75">
        <v>103</v>
      </c>
      <c r="B108" s="75">
        <f t="shared" si="20"/>
        <v>8.583333333333332</v>
      </c>
      <c r="C108">
        <f t="shared" si="21"/>
        <v>0.42386794050670945</v>
      </c>
      <c r="D108">
        <f t="shared" si="22"/>
        <v>0.4283649760785727</v>
      </c>
      <c r="E108">
        <f t="shared" si="23"/>
        <v>0.4412785177680096</v>
      </c>
      <c r="F108" s="45">
        <f t="shared" si="24"/>
        <v>0.44079437500132274</v>
      </c>
      <c r="G108" s="79">
        <f t="shared" si="40"/>
        <v>0.5381165919282511</v>
      </c>
      <c r="H108" s="75">
        <f t="shared" si="26"/>
        <v>0.14166666666666672</v>
      </c>
      <c r="I108">
        <f t="shared" si="41"/>
        <v>2.359225372894582</v>
      </c>
      <c r="J108">
        <f t="shared" si="42"/>
        <v>2.3344578941873513</v>
      </c>
      <c r="K108">
        <f t="shared" si="43"/>
        <v>2.2661424921793345</v>
      </c>
      <c r="L108">
        <f t="shared" si="44"/>
        <v>2.268631490583334</v>
      </c>
      <c r="M108" s="75">
        <f t="shared" si="45"/>
        <v>1.8583333333333334</v>
      </c>
      <c r="N108">
        <f t="shared" si="46"/>
        <v>-0.0044970355718632615</v>
      </c>
      <c r="O108">
        <f t="shared" si="47"/>
        <v>-0.01741057726130013</v>
      </c>
      <c r="P108">
        <f t="shared" si="48"/>
        <v>-0.016926434494613285</v>
      </c>
      <c r="Q108" s="80">
        <f t="shared" si="35"/>
        <v>-0.00048414276668684586</v>
      </c>
      <c r="R108" s="80">
        <f t="shared" si="36"/>
        <v>-0.012429398922750023</v>
      </c>
      <c r="S108" s="80">
        <f t="shared" si="37"/>
        <v>-0.01291354168943687</v>
      </c>
      <c r="T108" s="80">
        <f t="shared" si="38"/>
        <v>-0.09732221692692838</v>
      </c>
      <c r="U108" s="80">
        <f t="shared" si="39"/>
        <v>-0.11424865142154167</v>
      </c>
    </row>
    <row r="109" spans="1:21" ht="12.75">
      <c r="A109" s="75">
        <v>104</v>
      </c>
      <c r="B109" s="75">
        <f t="shared" si="20"/>
        <v>8.666666666666666</v>
      </c>
      <c r="C109">
        <f t="shared" si="21"/>
        <v>0.4203503845086819</v>
      </c>
      <c r="D109">
        <f t="shared" si="22"/>
        <v>0.42485362982049</v>
      </c>
      <c r="E109">
        <f t="shared" si="23"/>
        <v>0.4377875384583188</v>
      </c>
      <c r="F109" s="45">
        <f t="shared" si="24"/>
        <v>0.43735066894662483</v>
      </c>
      <c r="G109" s="79">
        <f t="shared" si="40"/>
        <v>0.5357142857142857</v>
      </c>
      <c r="H109" s="75">
        <f t="shared" si="26"/>
        <v>0.1333333333333333</v>
      </c>
      <c r="I109">
        <f t="shared" si="41"/>
        <v>2.3789677299066345</v>
      </c>
      <c r="J109">
        <f t="shared" si="42"/>
        <v>2.3537518095879797</v>
      </c>
      <c r="K109">
        <f t="shared" si="43"/>
        <v>2.284213030643879</v>
      </c>
      <c r="L109">
        <f t="shared" si="44"/>
        <v>2.286494730666668</v>
      </c>
      <c r="M109" s="75">
        <f t="shared" si="45"/>
        <v>1.8666666666666667</v>
      </c>
      <c r="N109">
        <f t="shared" si="46"/>
        <v>-0.004503245311808124</v>
      </c>
      <c r="O109">
        <f t="shared" si="47"/>
        <v>-0.017437153949636908</v>
      </c>
      <c r="P109">
        <f t="shared" si="48"/>
        <v>-0.017000284437942936</v>
      </c>
      <c r="Q109" s="80">
        <f t="shared" si="35"/>
        <v>-0.00043686951169397137</v>
      </c>
      <c r="R109" s="80">
        <f t="shared" si="36"/>
        <v>-0.012497039126134812</v>
      </c>
      <c r="S109" s="80">
        <f t="shared" si="37"/>
        <v>-0.012933908637828784</v>
      </c>
      <c r="T109" s="80">
        <f t="shared" si="38"/>
        <v>-0.09836361676766087</v>
      </c>
      <c r="U109" s="80">
        <f t="shared" si="39"/>
        <v>-0.1153639012056038</v>
      </c>
    </row>
    <row r="110" spans="1:21" ht="12.75">
      <c r="A110" s="75">
        <v>105</v>
      </c>
      <c r="B110" s="75">
        <f t="shared" si="20"/>
        <v>8.75</v>
      </c>
      <c r="C110">
        <f t="shared" si="21"/>
        <v>0.4168620196785084</v>
      </c>
      <c r="D110">
        <f t="shared" si="22"/>
        <v>0.4213710663836752</v>
      </c>
      <c r="E110">
        <f t="shared" si="23"/>
        <v>0.4343241764833724</v>
      </c>
      <c r="F110" s="45">
        <f t="shared" si="24"/>
        <v>0.4339603536834727</v>
      </c>
      <c r="G110" s="79">
        <f t="shared" si="40"/>
        <v>0.5333333333333333</v>
      </c>
      <c r="H110" s="75">
        <f t="shared" si="26"/>
        <v>0.125</v>
      </c>
      <c r="I110">
        <f t="shared" si="41"/>
        <v>2.398875293967098</v>
      </c>
      <c r="J110">
        <f t="shared" si="42"/>
        <v>2.37320518606624</v>
      </c>
      <c r="K110">
        <f t="shared" si="43"/>
        <v>2.302427666119765</v>
      </c>
      <c r="L110">
        <f t="shared" si="44"/>
        <v>2.3043579707500013</v>
      </c>
      <c r="M110" s="75">
        <f t="shared" si="45"/>
        <v>1.875</v>
      </c>
      <c r="N110">
        <f t="shared" si="46"/>
        <v>-0.00450904670516683</v>
      </c>
      <c r="O110">
        <f t="shared" si="47"/>
        <v>-0.017462156804864015</v>
      </c>
      <c r="P110">
        <f t="shared" si="48"/>
        <v>-0.0170983340049643</v>
      </c>
      <c r="Q110" s="80">
        <f t="shared" si="35"/>
        <v>-0.00036382279989971567</v>
      </c>
      <c r="R110" s="80">
        <f t="shared" si="36"/>
        <v>-0.01258928729979747</v>
      </c>
      <c r="S110" s="80">
        <f t="shared" si="37"/>
        <v>-0.012953110099697185</v>
      </c>
      <c r="T110" s="80">
        <f t="shared" si="38"/>
        <v>-0.09937297964986064</v>
      </c>
      <c r="U110" s="80">
        <f t="shared" si="39"/>
        <v>-0.11647131365482494</v>
      </c>
    </row>
    <row r="111" spans="1:21" ht="12.75">
      <c r="A111" s="75">
        <v>106</v>
      </c>
      <c r="B111" s="75">
        <f t="shared" si="20"/>
        <v>8.833333333333332</v>
      </c>
      <c r="C111">
        <f t="shared" si="21"/>
        <v>0.4134026037672293</v>
      </c>
      <c r="D111">
        <f t="shared" si="22"/>
        <v>0.4179170498327539</v>
      </c>
      <c r="E111">
        <f t="shared" si="23"/>
        <v>0.43088821336087335</v>
      </c>
      <c r="F111" s="45">
        <f t="shared" si="24"/>
        <v>0.43062219711667676</v>
      </c>
      <c r="G111" s="79">
        <f t="shared" si="40"/>
        <v>0.5309734513274337</v>
      </c>
      <c r="H111" s="75">
        <f t="shared" si="26"/>
        <v>0.1166666666666667</v>
      </c>
      <c r="I111">
        <f t="shared" si="41"/>
        <v>2.418949447553699</v>
      </c>
      <c r="J111">
        <f t="shared" si="42"/>
        <v>2.392819341542035</v>
      </c>
      <c r="K111">
        <f t="shared" si="43"/>
        <v>2.320787547656797</v>
      </c>
      <c r="L111">
        <f t="shared" si="44"/>
        <v>2.3222212108333347</v>
      </c>
      <c r="M111" s="75">
        <f t="shared" si="45"/>
        <v>1.883333333333333</v>
      </c>
      <c r="N111">
        <f t="shared" si="46"/>
        <v>-0.004514446065524591</v>
      </c>
      <c r="O111">
        <f t="shared" si="47"/>
        <v>-0.017485609593644036</v>
      </c>
      <c r="P111">
        <f t="shared" si="48"/>
        <v>-0.01721959334944745</v>
      </c>
      <c r="Q111" s="80">
        <f t="shared" si="35"/>
        <v>-0.0002660162441965874</v>
      </c>
      <c r="R111" s="80">
        <f t="shared" si="36"/>
        <v>-0.012705147283922857</v>
      </c>
      <c r="S111" s="80">
        <f t="shared" si="37"/>
        <v>-0.012971163528119445</v>
      </c>
      <c r="T111" s="80">
        <f t="shared" si="38"/>
        <v>-0.10035125421075691</v>
      </c>
      <c r="U111" s="80">
        <f t="shared" si="39"/>
        <v>-0.11757084756020436</v>
      </c>
    </row>
    <row r="112" spans="1:21" ht="12.75">
      <c r="A112" s="75">
        <v>107</v>
      </c>
      <c r="B112" s="75">
        <f t="shared" si="20"/>
        <v>8.916666666666666</v>
      </c>
      <c r="C112">
        <f t="shared" si="21"/>
        <v>0.4099718965362384</v>
      </c>
      <c r="D112">
        <f t="shared" si="22"/>
        <v>0.4144913461663317</v>
      </c>
      <c r="E112">
        <f t="shared" si="23"/>
        <v>0.42747943233695046</v>
      </c>
      <c r="F112" s="45">
        <f t="shared" si="24"/>
        <v>0.42733500477227465</v>
      </c>
      <c r="G112" s="79">
        <f t="shared" si="40"/>
        <v>0.5286343612334802</v>
      </c>
      <c r="H112" s="75">
        <f t="shared" si="26"/>
        <v>0.10833333333333339</v>
      </c>
      <c r="I112">
        <f t="shared" si="41"/>
        <v>2.439191584712948</v>
      </c>
      <c r="J112">
        <f t="shared" si="42"/>
        <v>2.412595604827679</v>
      </c>
      <c r="K112">
        <f t="shared" si="43"/>
        <v>2.3392938334674636</v>
      </c>
      <c r="L112">
        <f t="shared" si="44"/>
        <v>2.340084450916668</v>
      </c>
      <c r="M112" s="75">
        <f t="shared" si="45"/>
        <v>1.8916666666666666</v>
      </c>
      <c r="N112">
        <f t="shared" si="46"/>
        <v>-0.00451944963009332</v>
      </c>
      <c r="O112">
        <f t="shared" si="47"/>
        <v>-0.01750753580071207</v>
      </c>
      <c r="P112">
        <f t="shared" si="48"/>
        <v>-0.017363108236036262</v>
      </c>
      <c r="Q112" s="80">
        <f t="shared" si="35"/>
        <v>-0.00014442756467580864</v>
      </c>
      <c r="R112" s="80">
        <f t="shared" si="36"/>
        <v>-0.012843658605942943</v>
      </c>
      <c r="S112" s="80">
        <f t="shared" si="37"/>
        <v>-0.012988086170618751</v>
      </c>
      <c r="T112" s="80">
        <f t="shared" si="38"/>
        <v>-0.10129935646120553</v>
      </c>
      <c r="U112" s="80">
        <f t="shared" si="39"/>
        <v>-0.11866246469724179</v>
      </c>
    </row>
    <row r="113" spans="1:21" ht="12.75">
      <c r="A113" s="75">
        <v>108</v>
      </c>
      <c r="B113" s="75">
        <f t="shared" si="20"/>
        <v>9</v>
      </c>
      <c r="C113">
        <f t="shared" si="21"/>
        <v>0.4065696597405991</v>
      </c>
      <c r="D113">
        <f t="shared" si="22"/>
        <v>0.4110937233011465</v>
      </c>
      <c r="E113">
        <f t="shared" si="23"/>
        <v>0.42409761837248466</v>
      </c>
      <c r="F113" s="45">
        <f t="shared" si="24"/>
        <v>0.42409761837248466</v>
      </c>
      <c r="G113" s="79">
        <f t="shared" si="40"/>
        <v>0.5263157894736842</v>
      </c>
      <c r="H113" s="75">
        <f t="shared" si="26"/>
        <v>0.09999999999999998</v>
      </c>
      <c r="I113">
        <f t="shared" si="41"/>
        <v>2.45960311115695</v>
      </c>
      <c r="J113">
        <f t="shared" si="42"/>
        <v>2.4325353157178964</v>
      </c>
      <c r="K113">
        <f t="shared" si="43"/>
        <v>2.3579476910000015</v>
      </c>
      <c r="L113">
        <f t="shared" si="44"/>
        <v>2.3579476910000015</v>
      </c>
      <c r="M113" s="75">
        <f t="shared" si="45"/>
        <v>1.9000000000000001</v>
      </c>
      <c r="N113">
        <f t="shared" si="46"/>
        <v>-0.004524063560547409</v>
      </c>
      <c r="O113">
        <f t="shared" si="47"/>
        <v>-0.017527958631885554</v>
      </c>
      <c r="P113">
        <f t="shared" si="48"/>
        <v>-0.017527958631885554</v>
      </c>
      <c r="Q113" s="80">
        <f t="shared" si="35"/>
        <v>0</v>
      </c>
      <c r="R113" s="80">
        <f t="shared" si="36"/>
        <v>-0.013003895071338145</v>
      </c>
      <c r="S113" s="80">
        <f t="shared" si="37"/>
        <v>-0.013003895071338145</v>
      </c>
      <c r="T113" s="80">
        <f t="shared" si="38"/>
        <v>-0.10221817110119952</v>
      </c>
      <c r="U113" s="80">
        <f t="shared" si="39"/>
        <v>-0.11974612973308507</v>
      </c>
    </row>
    <row r="114" spans="1:21" ht="12.75">
      <c r="A114" s="75">
        <v>109</v>
      </c>
      <c r="B114" s="75">
        <f t="shared" si="20"/>
        <v>9.083333333333332</v>
      </c>
      <c r="C114">
        <f t="shared" si="21"/>
        <v>0.40319565711250016</v>
      </c>
      <c r="D114">
        <f t="shared" si="22"/>
        <v>0.4077239510563454</v>
      </c>
      <c r="E114">
        <f t="shared" si="23"/>
        <v>0.42074255812954353</v>
      </c>
      <c r="F114" s="45">
        <f t="shared" si="24"/>
        <v>0.42059267937767075</v>
      </c>
      <c r="G114" s="79">
        <f t="shared" si="40"/>
        <v>0.5240174672489083</v>
      </c>
      <c r="H114" s="75">
        <f t="shared" si="26"/>
        <v>0.09166666666666679</v>
      </c>
      <c r="I114">
        <f t="shared" si="41"/>
        <v>2.480185444361021</v>
      </c>
      <c r="J114">
        <f t="shared" si="42"/>
        <v>2.452639825080585</v>
      </c>
      <c r="K114">
        <f t="shared" si="43"/>
        <v>2.3767502970120447</v>
      </c>
      <c r="L114">
        <f t="shared" si="44"/>
        <v>2.377597255091668</v>
      </c>
      <c r="M114" s="75">
        <f t="shared" si="45"/>
        <v>1.9083333333333334</v>
      </c>
      <c r="N114">
        <f t="shared" si="46"/>
        <v>-0.004528293943845241</v>
      </c>
      <c r="O114">
        <f t="shared" si="47"/>
        <v>-0.01754690101704337</v>
      </c>
      <c r="P114">
        <f t="shared" si="48"/>
        <v>-0.017397022265170592</v>
      </c>
      <c r="Q114" s="80">
        <f t="shared" si="35"/>
        <v>-0.00014987875187277844</v>
      </c>
      <c r="R114" s="80">
        <f t="shared" si="36"/>
        <v>-0.012868728321325351</v>
      </c>
      <c r="S114" s="80">
        <f t="shared" si="37"/>
        <v>-0.01301860707319813</v>
      </c>
      <c r="T114" s="80">
        <f t="shared" si="38"/>
        <v>-0.10342478787123754</v>
      </c>
      <c r="U114" s="80">
        <f t="shared" si="39"/>
        <v>-0.12082181013640814</v>
      </c>
    </row>
    <row r="115" spans="1:21" ht="12.75">
      <c r="A115" s="75">
        <v>110</v>
      </c>
      <c r="B115" s="75">
        <f t="shared" si="20"/>
        <v>9.166666666666666</v>
      </c>
      <c r="C115">
        <f t="shared" si="21"/>
        <v>0.39984965434484737</v>
      </c>
      <c r="D115">
        <f t="shared" si="22"/>
        <v>0.40438180113788463</v>
      </c>
      <c r="E115">
        <f t="shared" si="23"/>
        <v>0.417414039957923</v>
      </c>
      <c r="F115" s="45">
        <f t="shared" si="24"/>
        <v>0.4171451983991653</v>
      </c>
      <c r="G115" s="79">
        <f t="shared" si="40"/>
        <v>0.5217391304347826</v>
      </c>
      <c r="H115" s="75">
        <f t="shared" si="26"/>
        <v>0.08333333333333337</v>
      </c>
      <c r="I115">
        <f t="shared" si="41"/>
        <v>2.5009400136621287</v>
      </c>
      <c r="J115">
        <f t="shared" si="42"/>
        <v>2.472910494948371</v>
      </c>
      <c r="K115">
        <f t="shared" si="43"/>
        <v>2.3957028376448575</v>
      </c>
      <c r="L115">
        <f t="shared" si="44"/>
        <v>2.3972468191833345</v>
      </c>
      <c r="M115" s="75">
        <f t="shared" si="45"/>
        <v>1.9166666666666667</v>
      </c>
      <c r="N115">
        <f t="shared" si="46"/>
        <v>-0.004532146793037262</v>
      </c>
      <c r="O115">
        <f t="shared" si="47"/>
        <v>-0.017564385613075606</v>
      </c>
      <c r="P115">
        <f t="shared" si="48"/>
        <v>-0.017295544054317935</v>
      </c>
      <c r="Q115" s="80">
        <f t="shared" si="35"/>
        <v>-0.0002688415587576709</v>
      </c>
      <c r="R115" s="80">
        <f t="shared" si="36"/>
        <v>-0.012763397261280673</v>
      </c>
      <c r="S115" s="80">
        <f t="shared" si="37"/>
        <v>-0.013032238820038344</v>
      </c>
      <c r="T115" s="80">
        <f t="shared" si="38"/>
        <v>-0.10459393203561729</v>
      </c>
      <c r="U115" s="80">
        <f t="shared" si="39"/>
        <v>-0.12188947608993522</v>
      </c>
    </row>
    <row r="116" spans="1:21" ht="12.75">
      <c r="A116" s="75">
        <v>111</v>
      </c>
      <c r="B116" s="75">
        <f t="shared" si="20"/>
        <v>9.25</v>
      </c>
      <c r="C116">
        <f t="shared" si="21"/>
        <v>0.39653141907499284</v>
      </c>
      <c r="D116">
        <f t="shared" si="22"/>
        <v>0.40106704712306984</v>
      </c>
      <c r="E116">
        <f t="shared" si="23"/>
        <v>0.41411185388179583</v>
      </c>
      <c r="F116" s="45">
        <f t="shared" si="24"/>
        <v>0.4137537740219363</v>
      </c>
      <c r="G116" s="79">
        <f t="shared" si="40"/>
        <v>0.5194805194805194</v>
      </c>
      <c r="H116" s="75">
        <f t="shared" si="26"/>
        <v>0.07499999999999996</v>
      </c>
      <c r="I116">
        <f t="shared" si="41"/>
        <v>2.521868260358148</v>
      </c>
      <c r="J116">
        <f t="shared" si="42"/>
        <v>2.4933486986108435</v>
      </c>
      <c r="K116">
        <f t="shared" si="43"/>
        <v>2.414806508498161</v>
      </c>
      <c r="L116">
        <f t="shared" si="44"/>
        <v>2.416896383275001</v>
      </c>
      <c r="M116" s="75">
        <f t="shared" si="45"/>
        <v>1.9250000000000003</v>
      </c>
      <c r="N116">
        <f t="shared" si="46"/>
        <v>-0.004535628048077001</v>
      </c>
      <c r="O116">
        <f t="shared" si="47"/>
        <v>-0.01758043480680299</v>
      </c>
      <c r="P116">
        <f t="shared" si="48"/>
        <v>-0.017222354946943463</v>
      </c>
      <c r="Q116" s="80">
        <f t="shared" si="35"/>
        <v>-0.00035807985985952806</v>
      </c>
      <c r="R116" s="80">
        <f t="shared" si="36"/>
        <v>-0.012686726898866463</v>
      </c>
      <c r="S116" s="80">
        <f t="shared" si="37"/>
        <v>-0.01304480675872599</v>
      </c>
      <c r="T116" s="80">
        <f t="shared" si="38"/>
        <v>-0.10572674545858313</v>
      </c>
      <c r="U116" s="80">
        <f t="shared" si="39"/>
        <v>-0.12294910040552659</v>
      </c>
    </row>
    <row r="117" spans="1:21" ht="12.75">
      <c r="A117" s="75">
        <v>112</v>
      </c>
      <c r="B117" s="75">
        <f t="shared" si="20"/>
        <v>9.333333333333332</v>
      </c>
      <c r="C117">
        <f t="shared" si="21"/>
        <v>0.3932407208685983</v>
      </c>
      <c r="D117">
        <f t="shared" si="22"/>
        <v>0.397779464445215</v>
      </c>
      <c r="E117">
        <f t="shared" si="23"/>
        <v>0.41083579158646555</v>
      </c>
      <c r="F117" s="45">
        <f t="shared" si="24"/>
        <v>0.4104170500378884</v>
      </c>
      <c r="G117" s="79">
        <f t="shared" si="40"/>
        <v>0.5172413793103449</v>
      </c>
      <c r="H117" s="75">
        <f t="shared" si="26"/>
        <v>0.06666666666666676</v>
      </c>
      <c r="I117">
        <f t="shared" si="41"/>
        <v>2.542971637807954</v>
      </c>
      <c r="J117">
        <f t="shared" si="42"/>
        <v>2.5139558207076</v>
      </c>
      <c r="K117">
        <f t="shared" si="43"/>
        <v>2.434062514705556</v>
      </c>
      <c r="L117">
        <f t="shared" si="44"/>
        <v>2.436545947366668</v>
      </c>
      <c r="M117" s="75">
        <f t="shared" si="45"/>
        <v>1.9333333333333331</v>
      </c>
      <c r="N117">
        <f t="shared" si="46"/>
        <v>-0.004538743576616711</v>
      </c>
      <c r="O117">
        <f t="shared" si="47"/>
        <v>-0.017595070717867256</v>
      </c>
      <c r="P117">
        <f t="shared" si="48"/>
        <v>-0.017176329169290128</v>
      </c>
      <c r="Q117" s="80">
        <f t="shared" si="35"/>
        <v>-0.0004187415485771284</v>
      </c>
      <c r="R117" s="80">
        <f t="shared" si="36"/>
        <v>-0.012637585592673417</v>
      </c>
      <c r="S117" s="80">
        <f t="shared" si="37"/>
        <v>-0.013056327141250545</v>
      </c>
      <c r="T117" s="80">
        <f t="shared" si="38"/>
        <v>-0.10682432927245644</v>
      </c>
      <c r="U117" s="80">
        <f t="shared" si="39"/>
        <v>-0.12400065844174657</v>
      </c>
    </row>
    <row r="118" spans="1:21" ht="12.75">
      <c r="A118" s="75">
        <v>113</v>
      </c>
      <c r="B118" s="75">
        <f t="shared" si="20"/>
        <v>9.416666666666666</v>
      </c>
      <c r="C118">
        <f t="shared" si="21"/>
        <v>0.3899773312036323</v>
      </c>
      <c r="D118">
        <f t="shared" si="22"/>
        <v>0.3945188303784241</v>
      </c>
      <c r="E118">
        <f t="shared" si="23"/>
        <v>0.40758564640522477</v>
      </c>
      <c r="F118" s="45">
        <f t="shared" si="24"/>
        <v>0.4071337136375854</v>
      </c>
      <c r="G118" s="79">
        <f t="shared" si="40"/>
        <v>0.5150214592274678</v>
      </c>
      <c r="H118" s="75">
        <f t="shared" si="26"/>
        <v>0.05833333333333335</v>
      </c>
      <c r="I118">
        <f t="shared" si="41"/>
        <v>2.564251611532352</v>
      </c>
      <c r="J118">
        <f t="shared" si="42"/>
        <v>2.5347332573220798</v>
      </c>
      <c r="K118">
        <f t="shared" si="43"/>
        <v>2.4534720710105486</v>
      </c>
      <c r="L118">
        <f t="shared" si="44"/>
        <v>2.456195511458334</v>
      </c>
      <c r="M118" s="75">
        <f t="shared" si="45"/>
        <v>1.9416666666666669</v>
      </c>
      <c r="N118">
        <f t="shared" si="46"/>
        <v>-0.0045414991747917965</v>
      </c>
      <c r="O118">
        <f t="shared" si="47"/>
        <v>-0.01760831520159245</v>
      </c>
      <c r="P118">
        <f t="shared" si="48"/>
        <v>-0.017156382433953066</v>
      </c>
      <c r="Q118" s="80">
        <f t="shared" si="35"/>
        <v>-0.0004519327676393847</v>
      </c>
      <c r="R118" s="80">
        <f t="shared" si="36"/>
        <v>-0.01261488325916127</v>
      </c>
      <c r="S118" s="80">
        <f t="shared" si="37"/>
        <v>-0.013066816026800654</v>
      </c>
      <c r="T118" s="80">
        <f t="shared" si="38"/>
        <v>-0.1078877455898824</v>
      </c>
      <c r="U118" s="80">
        <f t="shared" si="39"/>
        <v>-0.12504412802383547</v>
      </c>
    </row>
    <row r="119" spans="1:21" ht="12.75">
      <c r="A119" s="75">
        <v>114</v>
      </c>
      <c r="B119" s="75">
        <f t="shared" si="20"/>
        <v>9.5</v>
      </c>
      <c r="C119">
        <f t="shared" si="21"/>
        <v>0.3867410234545012</v>
      </c>
      <c r="D119">
        <f t="shared" si="22"/>
        <v>0.39128492402250725</v>
      </c>
      <c r="E119">
        <f t="shared" si="23"/>
        <v>0.4043612133063183</v>
      </c>
      <c r="F119" s="45">
        <f t="shared" si="24"/>
        <v>0.4039024936880806</v>
      </c>
      <c r="G119" s="79">
        <f aca="true" t="shared" si="49" ref="G119:G125">1/(1+$C$3*B119)</f>
        <v>0.5128205128205128</v>
      </c>
      <c r="H119" s="75">
        <f t="shared" si="26"/>
        <v>0.04999999999999993</v>
      </c>
      <c r="I119">
        <f aca="true" t="shared" si="50" ref="I119:I125">1/C119</f>
        <v>2.5857096593158464</v>
      </c>
      <c r="J119">
        <f aca="true" t="shared" si="51" ref="J119:J125">1/D119</f>
        <v>2.555682416076114</v>
      </c>
      <c r="K119">
        <f aca="true" t="shared" si="52" ref="K119:K125">1/E119</f>
        <v>2.47303640184318</v>
      </c>
      <c r="L119">
        <f aca="true" t="shared" si="53" ref="L119:L125">1/F119</f>
        <v>2.4758450755500014</v>
      </c>
      <c r="M119" s="75">
        <f aca="true" t="shared" si="54" ref="M119:M125">1/G119</f>
        <v>1.9500000000000002</v>
      </c>
      <c r="N119">
        <f aca="true" t="shared" si="55" ref="N119:N125">C119-D119</f>
        <v>-0.004543900568006076</v>
      </c>
      <c r="O119">
        <f aca="true" t="shared" si="56" ref="O119:O125">C119-E119</f>
        <v>-0.017620189851817125</v>
      </c>
      <c r="P119">
        <f aca="true" t="shared" si="57" ref="P119:P125">C119-F119</f>
        <v>-0.017161470233579446</v>
      </c>
      <c r="Q119" s="80">
        <f t="shared" si="35"/>
        <v>-0.0004587196182376796</v>
      </c>
      <c r="R119" s="80">
        <f t="shared" si="36"/>
        <v>-0.01261756966557337</v>
      </c>
      <c r="S119" s="80">
        <f t="shared" si="37"/>
        <v>-0.013076289283811049</v>
      </c>
      <c r="T119" s="80">
        <f t="shared" si="38"/>
        <v>-0.10891801913243215</v>
      </c>
      <c r="U119" s="80">
        <f t="shared" si="39"/>
        <v>-0.1260794893660116</v>
      </c>
    </row>
    <row r="120" spans="1:21" ht="12.75">
      <c r="A120" s="75">
        <v>115</v>
      </c>
      <c r="B120" s="75">
        <f t="shared" si="20"/>
        <v>9.583333333333332</v>
      </c>
      <c r="C120">
        <f t="shared" si="21"/>
        <v>0.38353157287631073</v>
      </c>
      <c r="D120">
        <f t="shared" si="22"/>
        <v>0.3880775262880147</v>
      </c>
      <c r="E120">
        <f t="shared" si="23"/>
        <v>0.40116228888000866</v>
      </c>
      <c r="F120" s="45">
        <f t="shared" si="24"/>
        <v>0.40072215909211156</v>
      </c>
      <c r="G120" s="79">
        <f t="shared" si="49"/>
        <v>0.5106382978723405</v>
      </c>
      <c r="H120" s="75">
        <f t="shared" si="26"/>
        <v>0.04166666666666674</v>
      </c>
      <c r="I120">
        <f t="shared" si="50"/>
        <v>2.607347271309267</v>
      </c>
      <c r="J120">
        <f t="shared" si="51"/>
        <v>2.5768047162252894</v>
      </c>
      <c r="K120">
        <f t="shared" si="52"/>
        <v>2.4927567413972684</v>
      </c>
      <c r="L120">
        <f t="shared" si="53"/>
        <v>2.495494639641668</v>
      </c>
      <c r="M120" s="75">
        <f t="shared" si="54"/>
        <v>1.958333333333333</v>
      </c>
      <c r="N120">
        <f t="shared" si="55"/>
        <v>-0.00454595341170394</v>
      </c>
      <c r="O120">
        <f t="shared" si="56"/>
        <v>-0.01763071600369792</v>
      </c>
      <c r="P120">
        <f t="shared" si="57"/>
        <v>-0.01719058621580083</v>
      </c>
      <c r="Q120" s="80">
        <f t="shared" si="35"/>
        <v>-0.00044012978789709223</v>
      </c>
      <c r="R120" s="80">
        <f t="shared" si="36"/>
        <v>-0.01264463280409689</v>
      </c>
      <c r="S120" s="80">
        <f t="shared" si="37"/>
        <v>-0.013084762591993981</v>
      </c>
      <c r="T120" s="80">
        <f t="shared" si="38"/>
        <v>-0.10991613878022893</v>
      </c>
      <c r="U120" s="80">
        <f t="shared" si="39"/>
        <v>-0.12710672499602976</v>
      </c>
    </row>
    <row r="121" spans="1:21" ht="12.75">
      <c r="A121" s="75">
        <v>116</v>
      </c>
      <c r="B121" s="75">
        <f t="shared" si="20"/>
        <v>9.666666666666666</v>
      </c>
      <c r="C121">
        <f t="shared" si="21"/>
        <v>0.38034875658925854</v>
      </c>
      <c r="D121">
        <f t="shared" si="22"/>
        <v>0.3848964198813894</v>
      </c>
      <c r="E121">
        <f t="shared" si="23"/>
        <v>0.39798867132574434</v>
      </c>
      <c r="F121" s="45">
        <f t="shared" si="24"/>
        <v>0.3975915172242044</v>
      </c>
      <c r="G121" s="79">
        <f t="shared" si="49"/>
        <v>0.5084745762711864</v>
      </c>
      <c r="H121" s="75">
        <f t="shared" si="26"/>
        <v>0.033333333333333326</v>
      </c>
      <c r="I121">
        <f t="shared" si="50"/>
        <v>2.6291659501332547</v>
      </c>
      <c r="J121">
        <f t="shared" si="51"/>
        <v>2.5981015887551315</v>
      </c>
      <c r="K121">
        <f t="shared" si="52"/>
        <v>2.5126343337082666</v>
      </c>
      <c r="L121">
        <f t="shared" si="53"/>
        <v>2.515144203733335</v>
      </c>
      <c r="M121" s="75">
        <f t="shared" si="54"/>
        <v>1.9666666666666668</v>
      </c>
      <c r="N121">
        <f t="shared" si="55"/>
        <v>-0.004547663292130855</v>
      </c>
      <c r="O121">
        <f t="shared" si="56"/>
        <v>-0.017639914736485796</v>
      </c>
      <c r="P121">
        <f t="shared" si="57"/>
        <v>-0.017242760634945842</v>
      </c>
      <c r="Q121" s="80">
        <f t="shared" si="35"/>
        <v>-0.0003971541015399538</v>
      </c>
      <c r="R121" s="80">
        <f t="shared" si="36"/>
        <v>-0.012695097342814987</v>
      </c>
      <c r="S121" s="80">
        <f t="shared" si="37"/>
        <v>-0.013092251444354941</v>
      </c>
      <c r="T121" s="80">
        <f t="shared" si="38"/>
        <v>-0.11088305904698204</v>
      </c>
      <c r="U121" s="80">
        <f t="shared" si="39"/>
        <v>-0.12812581968192788</v>
      </c>
    </row>
    <row r="122" spans="1:21" ht="12.75">
      <c r="A122" s="75">
        <v>117</v>
      </c>
      <c r="B122" s="75">
        <f t="shared" si="20"/>
        <v>9.75</v>
      </c>
      <c r="C122">
        <f t="shared" si="21"/>
        <v>0.3771923535631569</v>
      </c>
      <c r="D122">
        <f t="shared" si="22"/>
        <v>0.3817413892902509</v>
      </c>
      <c r="E122">
        <f t="shared" si="23"/>
        <v>0.39484016043942943</v>
      </c>
      <c r="F122" s="45">
        <f t="shared" si="24"/>
        <v>0.3945094124395206</v>
      </c>
      <c r="G122" s="79">
        <f t="shared" si="49"/>
        <v>0.5063291139240506</v>
      </c>
      <c r="H122" s="75">
        <f t="shared" si="26"/>
        <v>0.02499999999999991</v>
      </c>
      <c r="I122">
        <f t="shared" si="50"/>
        <v>2.651167210982607</v>
      </c>
      <c r="J122">
        <f t="shared" si="51"/>
        <v>2.619574476478017</v>
      </c>
      <c r="K122">
        <f t="shared" si="52"/>
        <v>2.5326704327317415</v>
      </c>
      <c r="L122">
        <f t="shared" si="53"/>
        <v>2.534793767825002</v>
      </c>
      <c r="M122" s="75">
        <f t="shared" si="54"/>
        <v>1.9750000000000003</v>
      </c>
      <c r="N122">
        <f t="shared" si="55"/>
        <v>-0.004549035727094031</v>
      </c>
      <c r="O122">
        <f t="shared" si="56"/>
        <v>-0.017647806876272543</v>
      </c>
      <c r="P122">
        <f t="shared" si="57"/>
        <v>-0.0173170588763637</v>
      </c>
      <c r="Q122" s="80">
        <f t="shared" si="35"/>
        <v>-0.0003307479999088425</v>
      </c>
      <c r="R122" s="80">
        <f t="shared" si="36"/>
        <v>-0.01276802314926967</v>
      </c>
      <c r="S122" s="80">
        <f t="shared" si="37"/>
        <v>-0.013098771149178512</v>
      </c>
      <c r="T122" s="80">
        <f t="shared" si="38"/>
        <v>-0.11181970148452997</v>
      </c>
      <c r="U122" s="80">
        <f t="shared" si="39"/>
        <v>-0.12913676036089367</v>
      </c>
    </row>
    <row r="123" spans="1:21" ht="12.75">
      <c r="A123" s="75">
        <v>118</v>
      </c>
      <c r="B123" s="75">
        <f t="shared" si="20"/>
        <v>9.833333333333332</v>
      </c>
      <c r="C123">
        <f t="shared" si="21"/>
        <v>0.37406214460208265</v>
      </c>
      <c r="D123">
        <f t="shared" si="22"/>
        <v>0.37861222076879486</v>
      </c>
      <c r="E123">
        <f t="shared" si="23"/>
        <v>0.391716557600794</v>
      </c>
      <c r="F123" s="45">
        <f t="shared" si="24"/>
        <v>0.39147472465152433</v>
      </c>
      <c r="G123" s="79">
        <f t="shared" si="49"/>
        <v>0.5042016806722689</v>
      </c>
      <c r="H123" s="75">
        <f t="shared" si="26"/>
        <v>0.01666666666666672</v>
      </c>
      <c r="I123">
        <f t="shared" si="50"/>
        <v>2.673352581731502</v>
      </c>
      <c r="J123">
        <f t="shared" si="51"/>
        <v>2.6412248341309215</v>
      </c>
      <c r="K123">
        <f t="shared" si="52"/>
        <v>2.5528663024224767</v>
      </c>
      <c r="L123">
        <f t="shared" si="53"/>
        <v>2.554443331916668</v>
      </c>
      <c r="M123" s="75">
        <f t="shared" si="54"/>
        <v>1.9833333333333334</v>
      </c>
      <c r="N123">
        <f t="shared" si="55"/>
        <v>-0.004550076166712214</v>
      </c>
      <c r="O123">
        <f t="shared" si="56"/>
        <v>-0.017654412998711344</v>
      </c>
      <c r="P123">
        <f t="shared" si="57"/>
        <v>-0.017412580049441684</v>
      </c>
      <c r="Q123" s="80">
        <f t="shared" si="35"/>
        <v>-0.00024183294926966026</v>
      </c>
      <c r="R123" s="80">
        <f t="shared" si="36"/>
        <v>-0.01286250388272947</v>
      </c>
      <c r="S123" s="80">
        <f t="shared" si="37"/>
        <v>-0.01310433683199913</v>
      </c>
      <c r="T123" s="80">
        <f t="shared" si="38"/>
        <v>-0.11272695602074456</v>
      </c>
      <c r="U123" s="80">
        <f t="shared" si="39"/>
        <v>-0.13013953607018625</v>
      </c>
    </row>
    <row r="124" spans="1:21" ht="12.75">
      <c r="A124" s="75">
        <v>119</v>
      </c>
      <c r="B124" s="75">
        <f t="shared" si="20"/>
        <v>9.916666666666666</v>
      </c>
      <c r="C124">
        <f t="shared" si="21"/>
        <v>0.3709579123291555</v>
      </c>
      <c r="D124">
        <f t="shared" si="22"/>
        <v>0.3755087023233068</v>
      </c>
      <c r="E124">
        <f t="shared" si="23"/>
        <v>0.38861766576086404</v>
      </c>
      <c r="F124" s="45">
        <f t="shared" si="24"/>
        <v>0.38848636797479513</v>
      </c>
      <c r="G124" s="79">
        <f t="shared" si="49"/>
        <v>0.502092050209205</v>
      </c>
      <c r="H124" s="75">
        <f t="shared" si="26"/>
        <v>0.008333333333333304</v>
      </c>
      <c r="I124">
        <f t="shared" si="50"/>
        <v>2.6957236030396023</v>
      </c>
      <c r="J124">
        <f t="shared" si="51"/>
        <v>2.6630541284740095</v>
      </c>
      <c r="K124">
        <f t="shared" si="52"/>
        <v>2.5732232168142097</v>
      </c>
      <c r="L124">
        <f t="shared" si="53"/>
        <v>2.574092896008335</v>
      </c>
      <c r="M124" s="75">
        <f t="shared" si="54"/>
        <v>1.9916666666666667</v>
      </c>
      <c r="N124">
        <f t="shared" si="55"/>
        <v>-0.004550789994151316</v>
      </c>
      <c r="O124">
        <f t="shared" si="56"/>
        <v>-0.017659753431708558</v>
      </c>
      <c r="P124">
        <f t="shared" si="57"/>
        <v>-0.01752845564563965</v>
      </c>
      <c r="Q124" s="80">
        <f t="shared" si="35"/>
        <v>-0.00013129778606890685</v>
      </c>
      <c r="R124" s="80">
        <f t="shared" si="36"/>
        <v>-0.012977665651488335</v>
      </c>
      <c r="S124" s="80">
        <f t="shared" si="37"/>
        <v>-0.013108963437557242</v>
      </c>
      <c r="T124" s="80">
        <f t="shared" si="38"/>
        <v>-0.11360568223440987</v>
      </c>
      <c r="U124" s="80">
        <f t="shared" si="39"/>
        <v>-0.13113413788004952</v>
      </c>
    </row>
    <row r="125" spans="1:21" ht="12.75">
      <c r="A125" s="75">
        <v>120</v>
      </c>
      <c r="B125" s="75">
        <f t="shared" si="20"/>
        <v>10</v>
      </c>
      <c r="C125">
        <f t="shared" si="21"/>
        <v>0.36787944117144233</v>
      </c>
      <c r="D125">
        <f t="shared" si="22"/>
        <v>0.37243062369780583</v>
      </c>
      <c r="E125">
        <f t="shared" si="23"/>
        <v>0.3855432894295315</v>
      </c>
      <c r="F125" s="45">
        <f t="shared" si="24"/>
        <v>0.3855432894295315</v>
      </c>
      <c r="G125" s="79">
        <f t="shared" si="49"/>
        <v>0.5</v>
      </c>
      <c r="H125" s="75">
        <f t="shared" si="26"/>
        <v>0</v>
      </c>
      <c r="I125">
        <f t="shared" si="50"/>
        <v>2.718281828459045</v>
      </c>
      <c r="J125">
        <f t="shared" si="51"/>
        <v>2.685063838389967</v>
      </c>
      <c r="K125">
        <f t="shared" si="52"/>
        <v>2.593742460100002</v>
      </c>
      <c r="L125">
        <f t="shared" si="53"/>
        <v>2.593742460100002</v>
      </c>
      <c r="M125" s="75">
        <f t="shared" si="54"/>
        <v>2</v>
      </c>
      <c r="N125">
        <f t="shared" si="55"/>
        <v>-0.004551182526363495</v>
      </c>
      <c r="O125">
        <f t="shared" si="56"/>
        <v>-0.017663848258089143</v>
      </c>
      <c r="P125">
        <f t="shared" si="57"/>
        <v>-0.017663848258089143</v>
      </c>
      <c r="Q125" s="80">
        <f t="shared" si="35"/>
        <v>0</v>
      </c>
      <c r="R125" s="80">
        <f t="shared" si="36"/>
        <v>-0.013112665731725648</v>
      </c>
      <c r="S125" s="80">
        <f t="shared" si="37"/>
        <v>-0.013112665731725648</v>
      </c>
      <c r="T125" s="80">
        <f t="shared" si="38"/>
        <v>-0.11445671057046852</v>
      </c>
      <c r="U125" s="80">
        <f t="shared" si="39"/>
        <v>-0.13212055882855767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Zellersche Formel</dc:title>
  <dc:subject/>
  <dc:creator>xwgztf0</dc:creator>
  <cp:keywords/>
  <dc:description/>
  <cp:lastModifiedBy>wgz_user</cp:lastModifiedBy>
  <cp:lastPrinted>2004-11-24T15:55:25Z</cp:lastPrinted>
  <dcterms:created xsi:type="dcterms:W3CDTF">2003-12-01T11:02:24Z</dcterms:created>
  <dcterms:modified xsi:type="dcterms:W3CDTF">2007-12-12T18:07:46Z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